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vreg.sharepoint.com/sites/KT_Tariefregulering/Gedeelde  documenten/TM 21-24/7 Analyses/Toegelaten inkomen 2024/"/>
    </mc:Choice>
  </mc:AlternateContent>
  <xr:revisionPtr revIDLastSave="69" documentId="8_{603A0B39-F3DB-4377-A527-B7E42F8E439F}" xr6:coauthVersionLast="47" xr6:coauthVersionMax="47" xr10:uidLastSave="{F6F81374-8B90-4631-8432-0ED9F5FD77C5}"/>
  <bookViews>
    <workbookView xWindow="19200" yWindow="0" windowWidth="19200" windowHeight="21000" xr2:uid="{963841B5-1E5C-451D-BDFF-C8D473F99C48}"/>
  </bookViews>
  <sheets>
    <sheet name="ENDO GAS 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7" i="1" l="1"/>
  <c r="D282" i="1" s="1"/>
  <c r="C276" i="1"/>
  <c r="G306" i="1"/>
  <c r="F306" i="1"/>
  <c r="I266" i="1"/>
  <c r="D309" i="1"/>
  <c r="K305" i="1"/>
  <c r="J305" i="1"/>
  <c r="G305" i="1"/>
  <c r="E305" i="1"/>
  <c r="C305" i="1"/>
  <c r="F305" i="1" s="1"/>
  <c r="K303" i="1"/>
  <c r="J303" i="1"/>
  <c r="G303" i="1"/>
  <c r="F303" i="1"/>
  <c r="E303" i="1"/>
  <c r="C303" i="1"/>
  <c r="K302" i="1"/>
  <c r="J302" i="1"/>
  <c r="G302" i="1"/>
  <c r="E302" i="1"/>
  <c r="F302" i="1" s="1"/>
  <c r="C302" i="1"/>
  <c r="K301" i="1"/>
  <c r="J301" i="1"/>
  <c r="G301" i="1"/>
  <c r="E301" i="1"/>
  <c r="C301" i="1"/>
  <c r="F301" i="1" s="1"/>
  <c r="K300" i="1"/>
  <c r="J300" i="1"/>
  <c r="G300" i="1"/>
  <c r="E300" i="1"/>
  <c r="C300" i="1"/>
  <c r="F300" i="1" s="1"/>
  <c r="K299" i="1"/>
  <c r="J299" i="1"/>
  <c r="G299" i="1"/>
  <c r="F299" i="1"/>
  <c r="E299" i="1"/>
  <c r="C299" i="1"/>
  <c r="K298" i="1"/>
  <c r="J298" i="1"/>
  <c r="G298" i="1"/>
  <c r="E298" i="1"/>
  <c r="C298" i="1"/>
  <c r="F298" i="1" s="1"/>
  <c r="K297" i="1"/>
  <c r="J297" i="1"/>
  <c r="G297" i="1"/>
  <c r="E297" i="1"/>
  <c r="C297" i="1"/>
  <c r="F297" i="1" s="1"/>
  <c r="K296" i="1"/>
  <c r="J296" i="1"/>
  <c r="G296" i="1"/>
  <c r="E296" i="1"/>
  <c r="C296" i="1"/>
  <c r="F296" i="1" s="1"/>
  <c r="H291" i="1"/>
  <c r="H289" i="1"/>
  <c r="H288" i="1"/>
  <c r="H287" i="1"/>
  <c r="H286" i="1"/>
  <c r="H285" i="1"/>
  <c r="H284" i="1"/>
  <c r="H283" i="1"/>
  <c r="H282" i="1"/>
  <c r="G282" i="1"/>
  <c r="F282" i="1"/>
  <c r="E282" i="1"/>
  <c r="H265" i="1"/>
  <c r="C265" i="1"/>
  <c r="H263" i="1"/>
  <c r="C263" i="1"/>
  <c r="H262" i="1"/>
  <c r="C262" i="1"/>
  <c r="H261" i="1"/>
  <c r="C261" i="1"/>
  <c r="H260" i="1"/>
  <c r="C260" i="1"/>
  <c r="H259" i="1"/>
  <c r="C259" i="1"/>
  <c r="H258" i="1"/>
  <c r="C258" i="1"/>
  <c r="H257" i="1"/>
  <c r="C257" i="1"/>
  <c r="H256" i="1"/>
  <c r="G256" i="1"/>
  <c r="F256" i="1"/>
  <c r="E256" i="1"/>
  <c r="C256" i="1"/>
  <c r="C250" i="1"/>
  <c r="C251" i="1" s="1"/>
  <c r="D256" i="1" s="1"/>
  <c r="K229" i="1"/>
  <c r="G229" i="1"/>
  <c r="D232" i="1"/>
  <c r="J228" i="1"/>
  <c r="F228" i="1"/>
  <c r="J226" i="1"/>
  <c r="J225" i="1"/>
  <c r="F225" i="1"/>
  <c r="L225" i="1" s="1"/>
  <c r="D239" i="1" s="1"/>
  <c r="J224" i="1"/>
  <c r="F224" i="1"/>
  <c r="J223" i="1"/>
  <c r="F223" i="1"/>
  <c r="L223" i="1" s="1"/>
  <c r="D237" i="1" s="1"/>
  <c r="J222" i="1"/>
  <c r="J221" i="1"/>
  <c r="F221" i="1"/>
  <c r="L221" i="1" s="1"/>
  <c r="D235" i="1" s="1"/>
  <c r="J220" i="1"/>
  <c r="J219" i="1"/>
  <c r="F219" i="1"/>
  <c r="H214" i="1"/>
  <c r="H212" i="1"/>
  <c r="H211" i="1"/>
  <c r="H210" i="1"/>
  <c r="H209" i="1"/>
  <c r="H208" i="1"/>
  <c r="H207" i="1"/>
  <c r="H206" i="1"/>
  <c r="H205" i="1"/>
  <c r="G205" i="1"/>
  <c r="C200" i="1"/>
  <c r="D205" i="1" s="1"/>
  <c r="C199" i="1"/>
  <c r="H188" i="1"/>
  <c r="H186" i="1"/>
  <c r="H185" i="1"/>
  <c r="H184" i="1"/>
  <c r="H183" i="1"/>
  <c r="H182" i="1"/>
  <c r="H181" i="1"/>
  <c r="H180" i="1"/>
  <c r="H179" i="1"/>
  <c r="G179" i="1"/>
  <c r="D155" i="1"/>
  <c r="G152" i="1"/>
  <c r="J151" i="1"/>
  <c r="F151" i="1"/>
  <c r="J149" i="1"/>
  <c r="F149" i="1"/>
  <c r="L149" i="1" s="1"/>
  <c r="D163" i="1" s="1"/>
  <c r="J148" i="1"/>
  <c r="F148" i="1"/>
  <c r="J147" i="1"/>
  <c r="F147" i="1"/>
  <c r="L147" i="1" s="1"/>
  <c r="D161" i="1" s="1"/>
  <c r="J146" i="1"/>
  <c r="F146" i="1"/>
  <c r="J145" i="1"/>
  <c r="F145" i="1"/>
  <c r="L145" i="1" s="1"/>
  <c r="D159" i="1" s="1"/>
  <c r="J144" i="1"/>
  <c r="F144" i="1"/>
  <c r="J143" i="1"/>
  <c r="F143" i="1"/>
  <c r="L143" i="1" s="1"/>
  <c r="D157" i="1" s="1"/>
  <c r="J142" i="1"/>
  <c r="F142" i="1"/>
  <c r="H137" i="1"/>
  <c r="H135" i="1"/>
  <c r="H134" i="1"/>
  <c r="H133" i="1"/>
  <c r="H132" i="1"/>
  <c r="H131" i="1"/>
  <c r="H130" i="1"/>
  <c r="H129" i="1"/>
  <c r="H128" i="1"/>
  <c r="G128" i="1"/>
  <c r="C116" i="1"/>
  <c r="C117" i="1" s="1"/>
  <c r="D128" i="1" s="1"/>
  <c r="G105" i="1"/>
  <c r="G103" i="1"/>
  <c r="G102" i="1"/>
  <c r="G101" i="1"/>
  <c r="G100" i="1"/>
  <c r="G99" i="1"/>
  <c r="G98" i="1"/>
  <c r="G97" i="1"/>
  <c r="H96" i="1"/>
  <c r="G96" i="1"/>
  <c r="F96" i="1"/>
  <c r="C90" i="1"/>
  <c r="C91" i="1" s="1"/>
  <c r="E96" i="1" s="1"/>
  <c r="D72" i="1"/>
  <c r="G69" i="1"/>
  <c r="J68" i="1"/>
  <c r="F68" i="1"/>
  <c r="L68" i="1" s="1"/>
  <c r="D82" i="1" s="1"/>
  <c r="J66" i="1"/>
  <c r="F66" i="1"/>
  <c r="L66" i="1" s="1"/>
  <c r="D80" i="1" s="1"/>
  <c r="J65" i="1"/>
  <c r="F65" i="1"/>
  <c r="L65" i="1" s="1"/>
  <c r="D79" i="1" s="1"/>
  <c r="J64" i="1"/>
  <c r="F64" i="1"/>
  <c r="J63" i="1"/>
  <c r="F63" i="1"/>
  <c r="L63" i="1" s="1"/>
  <c r="D77" i="1" s="1"/>
  <c r="J62" i="1"/>
  <c r="F62" i="1"/>
  <c r="L62" i="1" s="1"/>
  <c r="D76" i="1" s="1"/>
  <c r="J61" i="1"/>
  <c r="F61" i="1"/>
  <c r="L61" i="1" s="1"/>
  <c r="D75" i="1" s="1"/>
  <c r="J60" i="1"/>
  <c r="F60" i="1"/>
  <c r="K69" i="1"/>
  <c r="J59" i="1"/>
  <c r="F59" i="1"/>
  <c r="F45" i="1"/>
  <c r="J36" i="1"/>
  <c r="C36" i="1"/>
  <c r="E45" i="1" s="1"/>
  <c r="G30" i="1"/>
  <c r="E30" i="1"/>
  <c r="H19" i="1"/>
  <c r="H16" i="1"/>
  <c r="C30" i="1"/>
  <c r="K306" i="1" l="1"/>
  <c r="L303" i="1"/>
  <c r="D317" i="1" s="1"/>
  <c r="L296" i="1"/>
  <c r="D310" i="1" s="1"/>
  <c r="L302" i="1"/>
  <c r="D316" i="1" s="1"/>
  <c r="L299" i="1"/>
  <c r="D313" i="1" s="1"/>
  <c r="L298" i="1"/>
  <c r="D312" i="1" s="1"/>
  <c r="L301" i="1"/>
  <c r="D315" i="1" s="1"/>
  <c r="L305" i="1"/>
  <c r="D319" i="1" s="1"/>
  <c r="L297" i="1"/>
  <c r="D311" i="1" s="1"/>
  <c r="L300" i="1"/>
  <c r="D314" i="1" s="1"/>
  <c r="I257" i="1"/>
  <c r="C283" i="1" s="1"/>
  <c r="I283" i="1" s="1"/>
  <c r="C311" i="1" s="1"/>
  <c r="I259" i="1"/>
  <c r="C285" i="1" s="1"/>
  <c r="I285" i="1" s="1"/>
  <c r="C313" i="1" s="1"/>
  <c r="I263" i="1"/>
  <c r="C289" i="1" s="1"/>
  <c r="I289" i="1" s="1"/>
  <c r="C317" i="1" s="1"/>
  <c r="I265" i="1"/>
  <c r="C291" i="1" s="1"/>
  <c r="I291" i="1" s="1"/>
  <c r="C319" i="1" s="1"/>
  <c r="I256" i="1"/>
  <c r="C282" i="1" s="1"/>
  <c r="I282" i="1" s="1"/>
  <c r="I261" i="1"/>
  <c r="C287" i="1" s="1"/>
  <c r="I287" i="1" s="1"/>
  <c r="C315" i="1" s="1"/>
  <c r="I260" i="1"/>
  <c r="C286" i="1" s="1"/>
  <c r="I286" i="1" s="1"/>
  <c r="C314" i="1" s="1"/>
  <c r="I258" i="1"/>
  <c r="C284" i="1" s="1"/>
  <c r="I284" i="1" s="1"/>
  <c r="C312" i="1" s="1"/>
  <c r="I262" i="1"/>
  <c r="C288" i="1" s="1"/>
  <c r="I288" i="1" s="1"/>
  <c r="C316" i="1" s="1"/>
  <c r="L60" i="1"/>
  <c r="D74" i="1" s="1"/>
  <c r="L64" i="1"/>
  <c r="D78" i="1" s="1"/>
  <c r="L144" i="1"/>
  <c r="D158" i="1" s="1"/>
  <c r="L148" i="1"/>
  <c r="D162" i="1" s="1"/>
  <c r="L224" i="1"/>
  <c r="D238" i="1" s="1"/>
  <c r="F152" i="1"/>
  <c r="L146" i="1"/>
  <c r="D160" i="1" s="1"/>
  <c r="L151" i="1"/>
  <c r="D165" i="1" s="1"/>
  <c r="L59" i="1"/>
  <c r="D73" i="1" s="1"/>
  <c r="D83" i="1" s="1"/>
  <c r="L228" i="1"/>
  <c r="D242" i="1" s="1"/>
  <c r="F226" i="1"/>
  <c r="L226" i="1" s="1"/>
  <c r="D240" i="1" s="1"/>
  <c r="F222" i="1"/>
  <c r="L222" i="1" s="1"/>
  <c r="D236" i="1" s="1"/>
  <c r="F220" i="1"/>
  <c r="L220" i="1" s="1"/>
  <c r="D234" i="1" s="1"/>
  <c r="D96" i="1"/>
  <c r="D45" i="1"/>
  <c r="D48" i="1"/>
  <c r="D99" i="1"/>
  <c r="H20" i="1"/>
  <c r="H18" i="1"/>
  <c r="H25" i="1"/>
  <c r="H23" i="1"/>
  <c r="H21" i="1"/>
  <c r="H22" i="1"/>
  <c r="D30" i="1"/>
  <c r="I30" i="1" s="1"/>
  <c r="J30" i="1"/>
  <c r="J38" i="1" s="1"/>
  <c r="L219" i="1"/>
  <c r="D233" i="1" s="1"/>
  <c r="F30" i="1"/>
  <c r="F69" i="1"/>
  <c r="C173" i="1"/>
  <c r="C174" i="1" s="1"/>
  <c r="D179" i="1" s="1"/>
  <c r="L142" i="1"/>
  <c r="D156" i="1" s="1"/>
  <c r="H17" i="1"/>
  <c r="E311" i="1" l="1"/>
  <c r="E317" i="1"/>
  <c r="E316" i="1"/>
  <c r="E314" i="1"/>
  <c r="C310" i="1"/>
  <c r="E310" i="1" s="1"/>
  <c r="I292" i="1"/>
  <c r="E319" i="1"/>
  <c r="E313" i="1"/>
  <c r="E312" i="1"/>
  <c r="E315" i="1"/>
  <c r="D166" i="1"/>
  <c r="D243" i="1"/>
  <c r="F229" i="1"/>
  <c r="J37" i="1"/>
  <c r="C45" i="1"/>
  <c r="C96" i="1"/>
  <c r="D103" i="1"/>
  <c r="D52" i="1"/>
  <c r="D98" i="1"/>
  <c r="D47" i="1"/>
  <c r="D100" i="1"/>
  <c r="D49" i="1"/>
  <c r="D97" i="1"/>
  <c r="D46" i="1"/>
  <c r="J39" i="1"/>
  <c r="D51" i="1"/>
  <c r="D102" i="1"/>
  <c r="D101" i="1"/>
  <c r="D50" i="1"/>
  <c r="D54" i="1"/>
  <c r="D105" i="1"/>
  <c r="E320" i="1" l="1"/>
  <c r="E205" i="1"/>
  <c r="E179" i="1"/>
  <c r="E128" i="1"/>
  <c r="I103" i="1"/>
  <c r="I100" i="1"/>
  <c r="I97" i="1"/>
  <c r="I102" i="1"/>
  <c r="I96" i="1"/>
  <c r="I99" i="1"/>
  <c r="I105" i="1"/>
  <c r="I101" i="1"/>
  <c r="I98" i="1"/>
  <c r="I48" i="1"/>
  <c r="C76" i="1" s="1"/>
  <c r="E76" i="1" s="1"/>
  <c r="I51" i="1"/>
  <c r="C79" i="1" s="1"/>
  <c r="E79" i="1" s="1"/>
  <c r="I54" i="1"/>
  <c r="C82" i="1" s="1"/>
  <c r="E82" i="1" s="1"/>
  <c r="I45" i="1"/>
  <c r="I50" i="1"/>
  <c r="C78" i="1" s="1"/>
  <c r="E78" i="1" s="1"/>
  <c r="I49" i="1"/>
  <c r="C77" i="1" s="1"/>
  <c r="E77" i="1" s="1"/>
  <c r="I47" i="1"/>
  <c r="C75" i="1" s="1"/>
  <c r="E75" i="1" s="1"/>
  <c r="I52" i="1"/>
  <c r="C80" i="1" s="1"/>
  <c r="E80" i="1" s="1"/>
  <c r="I46" i="1"/>
  <c r="C74" i="1" s="1"/>
  <c r="E74" i="1" s="1"/>
  <c r="C183" i="1" l="1"/>
  <c r="C132" i="1"/>
  <c r="C129" i="1"/>
  <c r="C180" i="1"/>
  <c r="I55" i="1"/>
  <c r="C121" i="1"/>
  <c r="C123" i="1" s="1"/>
  <c r="C73" i="1"/>
  <c r="C181" i="1"/>
  <c r="C130" i="1"/>
  <c r="C186" i="1"/>
  <c r="C135" i="1"/>
  <c r="C188" i="1"/>
  <c r="C137" i="1"/>
  <c r="C131" i="1"/>
  <c r="C182" i="1"/>
  <c r="C179" i="1"/>
  <c r="I106" i="1"/>
  <c r="C128" i="1"/>
  <c r="C184" i="1"/>
  <c r="C133" i="1"/>
  <c r="C134" i="1"/>
  <c r="C185" i="1"/>
  <c r="E73" i="1" l="1"/>
  <c r="E83" i="1" s="1"/>
  <c r="C83" i="1"/>
  <c r="F179" i="1"/>
  <c r="I183" i="1" s="1"/>
  <c r="F128" i="1"/>
  <c r="I132" i="1" s="1"/>
  <c r="C160" i="1" s="1"/>
  <c r="E160" i="1" s="1"/>
  <c r="F205" i="1"/>
  <c r="I133" i="1"/>
  <c r="C161" i="1" s="1"/>
  <c r="E161" i="1" s="1"/>
  <c r="I135" i="1"/>
  <c r="C163" i="1" s="1"/>
  <c r="E163" i="1" s="1"/>
  <c r="I129" i="1"/>
  <c r="C157" i="1" s="1"/>
  <c r="E157" i="1" s="1"/>
  <c r="I128" i="1"/>
  <c r="I186" i="1"/>
  <c r="I137" i="1" l="1"/>
  <c r="C165" i="1" s="1"/>
  <c r="E165" i="1" s="1"/>
  <c r="I131" i="1"/>
  <c r="C159" i="1" s="1"/>
  <c r="E159" i="1" s="1"/>
  <c r="I182" i="1"/>
  <c r="I130" i="1"/>
  <c r="C158" i="1" s="1"/>
  <c r="E158" i="1" s="1"/>
  <c r="I134" i="1"/>
  <c r="C162" i="1" s="1"/>
  <c r="E162" i="1" s="1"/>
  <c r="I180" i="1"/>
  <c r="C206" i="1" s="1"/>
  <c r="I206" i="1" s="1"/>
  <c r="C234" i="1" s="1"/>
  <c r="E234" i="1" s="1"/>
  <c r="C209" i="1"/>
  <c r="I209" i="1" s="1"/>
  <c r="C237" i="1" s="1"/>
  <c r="E237" i="1" s="1"/>
  <c r="C208" i="1"/>
  <c r="I208" i="1" s="1"/>
  <c r="C236" i="1" s="1"/>
  <c r="E236" i="1" s="1"/>
  <c r="C212" i="1"/>
  <c r="I212" i="1" s="1"/>
  <c r="C240" i="1" s="1"/>
  <c r="E240" i="1" s="1"/>
  <c r="C156" i="1"/>
  <c r="I188" i="1"/>
  <c r="I179" i="1"/>
  <c r="I181" i="1"/>
  <c r="I184" i="1"/>
  <c r="I185" i="1"/>
  <c r="I138" i="1" l="1"/>
  <c r="C166" i="1"/>
  <c r="I189" i="1"/>
  <c r="C211" i="1"/>
  <c r="I211" i="1" s="1"/>
  <c r="C239" i="1" s="1"/>
  <c r="E239" i="1" s="1"/>
  <c r="C210" i="1"/>
  <c r="I210" i="1" s="1"/>
  <c r="C238" i="1" s="1"/>
  <c r="E238" i="1" s="1"/>
  <c r="C207" i="1"/>
  <c r="I207" i="1" s="1"/>
  <c r="C235" i="1" s="1"/>
  <c r="E235" i="1" s="1"/>
  <c r="C205" i="1"/>
  <c r="I205" i="1" s="1"/>
  <c r="C214" i="1"/>
  <c r="I214" i="1" s="1"/>
  <c r="C242" i="1" s="1"/>
  <c r="E242" i="1" s="1"/>
  <c r="E156" i="1"/>
  <c r="E166" i="1" s="1"/>
  <c r="C233" i="1" l="1"/>
  <c r="I215" i="1"/>
  <c r="E233" i="1" l="1"/>
  <c r="E243" i="1" s="1"/>
  <c r="C243" i="1"/>
</calcChain>
</file>

<file path=xl/sharedStrings.xml><?xml version="1.0" encoding="utf-8"?>
<sst xmlns="http://schemas.openxmlformats.org/spreadsheetml/2006/main" count="351" uniqueCount="137">
  <si>
    <t>AARDGAS</t>
  </si>
  <si>
    <t>Toegelaten inkomen uit periodieke distributienettarieven voor endogene kosten</t>
  </si>
  <si>
    <t>Inkomsten 2021</t>
  </si>
  <si>
    <t>EX-ANTE</t>
  </si>
  <si>
    <t>Totale geactualiseerde endogene kosten per distributienetbeheerder  (T11)</t>
  </si>
  <si>
    <r>
      <t>TK</t>
    </r>
    <r>
      <rPr>
        <b/>
        <vertAlign val="subscript"/>
        <sz val="11"/>
        <color indexed="8"/>
        <rFont val="Calibri"/>
        <family val="2"/>
      </rPr>
      <t>act,n,i</t>
    </r>
  </si>
  <si>
    <r>
      <t>a</t>
    </r>
    <r>
      <rPr>
        <b/>
        <vertAlign val="subscript"/>
        <sz val="11"/>
        <color indexed="8"/>
        <rFont val="Calibri"/>
        <family val="2"/>
      </rPr>
      <t>i</t>
    </r>
  </si>
  <si>
    <t>Gaselwest</t>
  </si>
  <si>
    <t>Fluvius Antwerpen</t>
  </si>
  <si>
    <t>Fluvius Limburg</t>
  </si>
  <si>
    <t>Fluvius West</t>
  </si>
  <si>
    <t>Imewo</t>
  </si>
  <si>
    <t>Intergem</t>
  </si>
  <si>
    <t>Iveka</t>
  </si>
  <si>
    <t>Iverlek</t>
  </si>
  <si>
    <t>PBE</t>
  </si>
  <si>
    <t>Sibelgas</t>
  </si>
  <si>
    <r>
      <t>Fl</t>
    </r>
    <r>
      <rPr>
        <b/>
        <vertAlign val="subscript"/>
        <sz val="11"/>
        <color theme="1"/>
        <rFont val="Calibri"/>
        <family val="2"/>
        <scheme val="minor"/>
      </rPr>
      <t>n</t>
    </r>
  </si>
  <si>
    <r>
      <t>SK</t>
    </r>
    <r>
      <rPr>
        <b/>
        <vertAlign val="subscript"/>
        <sz val="11"/>
        <color theme="1"/>
        <rFont val="Calibri"/>
        <family val="2"/>
      </rPr>
      <t>n</t>
    </r>
  </si>
  <si>
    <r>
      <t>TK</t>
    </r>
    <r>
      <rPr>
        <b/>
        <vertAlign val="subscript"/>
        <sz val="11"/>
        <color indexed="8"/>
        <rFont val="Calibri"/>
        <family val="2"/>
      </rPr>
      <t>trend,2021</t>
    </r>
  </si>
  <si>
    <r>
      <t>TK</t>
    </r>
    <r>
      <rPr>
        <b/>
        <vertAlign val="subscript"/>
        <sz val="11"/>
        <color indexed="8"/>
        <rFont val="Calibri"/>
        <family val="2"/>
      </rPr>
      <t>trend,2024</t>
    </r>
  </si>
  <si>
    <t xml:space="preserve">Evolutie sector </t>
  </si>
  <si>
    <t>Inflatieverwachtingen in 2020 o.b.v. consumptieprijsindex</t>
  </si>
  <si>
    <t>X-waarde reguleringsperiode 2021-2024</t>
  </si>
  <si>
    <r>
      <t>I</t>
    </r>
    <r>
      <rPr>
        <b/>
        <vertAlign val="subscript"/>
        <sz val="11"/>
        <color indexed="8"/>
        <rFont val="Calibri"/>
        <family val="2"/>
      </rPr>
      <t>2021,v</t>
    </r>
  </si>
  <si>
    <t>FP</t>
  </si>
  <si>
    <t>beginjaar</t>
  </si>
  <si>
    <r>
      <t>I</t>
    </r>
    <r>
      <rPr>
        <b/>
        <vertAlign val="subscript"/>
        <sz val="11"/>
        <color indexed="8"/>
        <rFont val="Calibri"/>
        <family val="2"/>
      </rPr>
      <t>2020</t>
    </r>
  </si>
  <si>
    <t>FOD</t>
  </si>
  <si>
    <t>eindjaar</t>
  </si>
  <si>
    <r>
      <t>CPI</t>
    </r>
    <r>
      <rPr>
        <b/>
        <vertAlign val="subscript"/>
        <sz val="11"/>
        <color indexed="8"/>
        <rFont val="Calibri"/>
        <family val="2"/>
      </rPr>
      <t>2021,v</t>
    </r>
  </si>
  <si>
    <t>p</t>
  </si>
  <si>
    <r>
      <t>TI</t>
    </r>
    <r>
      <rPr>
        <b/>
        <vertAlign val="subscript"/>
        <sz val="10"/>
        <color indexed="8"/>
        <rFont val="Calibri"/>
        <family val="2"/>
      </rPr>
      <t>trend,2021</t>
    </r>
  </si>
  <si>
    <t>Netto frontier shift elektriciteit</t>
  </si>
  <si>
    <r>
      <t>TI</t>
    </r>
    <r>
      <rPr>
        <b/>
        <vertAlign val="subscript"/>
        <sz val="10"/>
        <color indexed="8"/>
        <rFont val="Calibri"/>
        <family val="2"/>
      </rPr>
      <t>trend,2024</t>
    </r>
  </si>
  <si>
    <t>x</t>
  </si>
  <si>
    <t>x"</t>
  </si>
  <si>
    <t>Toegelaten inkomsten endogene kosten basisgedeelte 2021</t>
  </si>
  <si>
    <r>
      <t>q</t>
    </r>
    <r>
      <rPr>
        <vertAlign val="subscript"/>
        <sz val="11"/>
        <color indexed="8"/>
        <rFont val="Calibri"/>
        <family val="2"/>
      </rPr>
      <t>i</t>
    </r>
  </si>
  <si>
    <r>
      <t>Fl</t>
    </r>
    <r>
      <rPr>
        <b/>
        <vertAlign val="subscript"/>
        <sz val="11"/>
        <color theme="1"/>
        <rFont val="Calibri"/>
        <family val="2"/>
        <scheme val="minor"/>
      </rPr>
      <t>21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</si>
  <si>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basis,2021,i</t>
    </r>
  </si>
  <si>
    <t>Ex-ante aanvullende endogene termen 2021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</si>
  <si>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A,2021,i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</si>
  <si>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NI,2021,i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</si>
  <si>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H,2021,i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</si>
  <si>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2021,i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</si>
  <si>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2021,i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</si>
  <si>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ex-ante,2021,i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</si>
  <si>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ex-post,2021,i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</si>
  <si>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2021,i</t>
    </r>
  </si>
  <si>
    <r>
      <t>V</t>
    </r>
    <r>
      <rPr>
        <b/>
        <vertAlign val="subscript"/>
        <sz val="10"/>
        <color indexed="8"/>
        <rFont val="Calibri"/>
        <family val="2"/>
      </rPr>
      <t>2021,i</t>
    </r>
    <r>
      <rPr>
        <b/>
        <sz val="10"/>
        <color indexed="8"/>
        <rFont val="Calibri"/>
        <family val="2"/>
      </rPr>
      <t>-TV</t>
    </r>
    <r>
      <rPr>
        <b/>
        <vertAlign val="subscript"/>
        <sz val="10"/>
        <color indexed="8"/>
        <rFont val="Calibri"/>
        <family val="2"/>
      </rPr>
      <t>2021,i</t>
    </r>
  </si>
  <si>
    <t>Totaal aanvullend</t>
  </si>
  <si>
    <t>Toegelaten inkomsten endogene kosten 2021</t>
  </si>
  <si>
    <r>
      <t>TI</t>
    </r>
    <r>
      <rPr>
        <b/>
        <vertAlign val="subscript"/>
        <sz val="10"/>
        <color indexed="8"/>
        <rFont val="Calibri"/>
        <family val="2"/>
      </rPr>
      <t>end,2021,i</t>
    </r>
  </si>
  <si>
    <t>EX-POST BASISGEDEELTE 2021</t>
  </si>
  <si>
    <t>Inflatie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</si>
  <si>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2021</t>
    </r>
  </si>
  <si>
    <t>https://bestat.statbel.fgov.be/bestat/crosstable.xhtml?view=876acb9d-4eae-408e-93d9-88eae4ad1eaf</t>
  </si>
  <si>
    <r>
      <t>CPI</t>
    </r>
    <r>
      <rPr>
        <b/>
        <vertAlign val="subscript"/>
        <sz val="11"/>
        <color indexed="8"/>
        <rFont val="Calibri"/>
        <family val="2"/>
      </rPr>
      <t>2021</t>
    </r>
  </si>
  <si>
    <t>Toegelaten inkomsten endogene kosten basisgedeelte 2021 ex-post</t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</si>
  <si>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basis,2021,i,ex-post</t>
    </r>
  </si>
  <si>
    <t>Inkomsten 2022</t>
  </si>
  <si>
    <t>Inflatieverwachtingen in 2021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</si>
  <si>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2022,v</t>
    </r>
  </si>
  <si>
    <t>https://www.plan.be/databases/17-nl-indexcijfer_der_consumptieprijzen_inflatievooruitzichten</t>
  </si>
  <si>
    <r>
      <t>CPI</t>
    </r>
    <r>
      <rPr>
        <b/>
        <vertAlign val="subscript"/>
        <sz val="11"/>
        <color indexed="8"/>
        <rFont val="Calibri"/>
        <family val="2"/>
      </rPr>
      <t>2022,v</t>
    </r>
  </si>
  <si>
    <t>x' waarde</t>
  </si>
  <si>
    <t>B</t>
  </si>
  <si>
    <t>x'</t>
  </si>
  <si>
    <t>Toegelaten inkomsten endogene kosten basisgedeelte 2022</t>
  </si>
  <si>
    <r>
      <t>CPI</t>
    </r>
    <r>
      <rPr>
        <vertAlign val="subscript"/>
        <sz val="11"/>
        <color indexed="8"/>
        <rFont val="Calibri"/>
        <family val="2"/>
      </rPr>
      <t>2022,v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</si>
  <si>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basis,2022,i</t>
    </r>
  </si>
  <si>
    <t>Ex-ante aanvullende endogene termen 2022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</si>
  <si>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A,2022,i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</si>
  <si>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NI,2022,i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</si>
  <si>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H,2022,i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</si>
  <si>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2022,i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</si>
  <si>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2022,i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</si>
  <si>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ex-ante,2022,i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</si>
  <si>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ex-post,2022,i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</si>
  <si>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2022,i</t>
    </r>
  </si>
  <si>
    <r>
      <t>V</t>
    </r>
    <r>
      <rPr>
        <b/>
        <vertAlign val="subscript"/>
        <sz val="10"/>
        <color indexed="8"/>
        <rFont val="Calibri"/>
        <family val="2"/>
      </rPr>
      <t>2022,i</t>
    </r>
    <r>
      <rPr>
        <b/>
        <sz val="10"/>
        <color indexed="8"/>
        <rFont val="Calibri"/>
        <family val="2"/>
      </rPr>
      <t>-TV</t>
    </r>
    <r>
      <rPr>
        <b/>
        <vertAlign val="subscript"/>
        <sz val="10"/>
        <color indexed="8"/>
        <rFont val="Calibri"/>
        <family val="2"/>
      </rPr>
      <t>2022,i</t>
    </r>
  </si>
  <si>
    <t>Toegelaten inkomsten endogene kosten 2022</t>
  </si>
  <si>
    <r>
      <t>TI</t>
    </r>
    <r>
      <rPr>
        <b/>
        <vertAlign val="subscript"/>
        <sz val="10"/>
        <color indexed="8"/>
        <rFont val="Calibri"/>
        <family val="2"/>
      </rPr>
      <t>end,2022,i</t>
    </r>
  </si>
  <si>
    <t>EX-POST BASISGEDEELTE 2022</t>
  </si>
  <si>
    <r>
      <t>I</t>
    </r>
    <r>
      <rPr>
        <b/>
        <vertAlign val="subscript"/>
        <sz val="11"/>
        <color indexed="8"/>
        <rFont val="Calibri"/>
        <family val="2"/>
      </rPr>
      <t>2022</t>
    </r>
  </si>
  <si>
    <r>
      <t>CPI</t>
    </r>
    <r>
      <rPr>
        <b/>
        <vertAlign val="subscript"/>
        <sz val="11"/>
        <color indexed="8"/>
        <rFont val="Calibri"/>
        <family val="2"/>
      </rPr>
      <t>2022</t>
    </r>
  </si>
  <si>
    <t>Toegelaten inkomsten endogene kosten basisgedeelte 2022 ex-post</t>
  </si>
  <si>
    <r>
      <t>CPI</t>
    </r>
    <r>
      <rPr>
        <vertAlign val="subscript"/>
        <sz val="11"/>
        <color indexed="8"/>
        <rFont val="Calibri"/>
        <family val="2"/>
      </rPr>
      <t>2022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</si>
  <si>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basis,2022,i,ex-post</t>
    </r>
  </si>
  <si>
    <t>Inkomsten 2023</t>
  </si>
  <si>
    <t>Inflatieverwachtingen in 2022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</si>
  <si>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2023,v</t>
    </r>
  </si>
  <si>
    <r>
      <t>CPI</t>
    </r>
    <r>
      <rPr>
        <b/>
        <vertAlign val="subscript"/>
        <sz val="11"/>
        <color indexed="8"/>
        <rFont val="Calibri"/>
        <family val="2"/>
      </rPr>
      <t>2023,v</t>
    </r>
  </si>
  <si>
    <t>Toegelaten inkomsten endogene kosten basisgedeelte 2023</t>
  </si>
  <si>
    <r>
      <t>CPI</t>
    </r>
    <r>
      <rPr>
        <vertAlign val="subscript"/>
        <sz val="11"/>
        <color indexed="8"/>
        <rFont val="Calibri"/>
        <family val="2"/>
      </rPr>
      <t>2023,v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</si>
  <si>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basis,2023,i</t>
    </r>
  </si>
  <si>
    <t>Ex-ante aanvullende endogene termen 2023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</si>
  <si>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A,2023,i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</si>
  <si>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NI,2023,i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</si>
  <si>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H,2023,i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</si>
  <si>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2023,i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</si>
  <si>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2023,i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</si>
  <si>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ex-ante,2023,i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</si>
  <si>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ex-post,2023,i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</si>
  <si>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2023,i</t>
    </r>
  </si>
  <si>
    <r>
      <t>V</t>
    </r>
    <r>
      <rPr>
        <b/>
        <vertAlign val="subscript"/>
        <sz val="10"/>
        <color indexed="8"/>
        <rFont val="Calibri"/>
        <family val="2"/>
      </rPr>
      <t>2023,i</t>
    </r>
    <r>
      <rPr>
        <b/>
        <sz val="10"/>
        <color indexed="8"/>
        <rFont val="Calibri"/>
        <family val="2"/>
      </rPr>
      <t>-TV</t>
    </r>
    <r>
      <rPr>
        <b/>
        <vertAlign val="subscript"/>
        <sz val="10"/>
        <color indexed="8"/>
        <rFont val="Calibri"/>
        <family val="2"/>
      </rPr>
      <t>2023,i</t>
    </r>
  </si>
  <si>
    <t>Toegelaten inkomsten endogene kosten 2023</t>
  </si>
  <si>
    <r>
      <t>TI</t>
    </r>
    <r>
      <rPr>
        <b/>
        <vertAlign val="subscript"/>
        <sz val="10"/>
        <color indexed="8"/>
        <rFont val="Calibri"/>
        <family val="2"/>
      </rPr>
      <t>end,2023,i</t>
    </r>
  </si>
  <si>
    <t>EX-POST BASISGEDEELTE 2023</t>
  </si>
  <si>
    <r>
      <t>I</t>
    </r>
    <r>
      <rPr>
        <b/>
        <vertAlign val="subscript"/>
        <sz val="11"/>
        <color rgb="FF000000"/>
        <rFont val="Calibri"/>
        <family val="2"/>
      </rPr>
      <t>2023</t>
    </r>
  </si>
  <si>
    <r>
      <t>I</t>
    </r>
    <r>
      <rPr>
        <b/>
        <vertAlign val="subscript"/>
        <sz val="11"/>
        <color rgb="FF000000"/>
        <rFont val="Calibri"/>
        <family val="2"/>
      </rPr>
      <t>2022</t>
    </r>
  </si>
  <si>
    <r>
      <t>CPI</t>
    </r>
    <r>
      <rPr>
        <b/>
        <vertAlign val="subscript"/>
        <sz val="11"/>
        <color rgb="FF000000"/>
        <rFont val="Calibri"/>
        <family val="2"/>
      </rPr>
      <t>2023</t>
    </r>
  </si>
  <si>
    <t>Toegelaten inkomsten endogene kosten basisgedeelte 2023 ex-post</t>
  </si>
  <si>
    <r>
      <t>TI</t>
    </r>
    <r>
      <rPr>
        <b/>
        <vertAlign val="subscript"/>
        <sz val="11"/>
        <color rgb="FF000000"/>
        <rFont val="Calibri"/>
        <family val="2"/>
      </rPr>
      <t>basis,2022,i,ex-post</t>
    </r>
  </si>
  <si>
    <r>
      <t>CPI</t>
    </r>
    <r>
      <rPr>
        <vertAlign val="subscript"/>
        <sz val="11"/>
        <color rgb="FF000000"/>
        <rFont val="Calibri"/>
        <family val="2"/>
      </rPr>
      <t>2022</t>
    </r>
  </si>
  <si>
    <r>
      <t>q</t>
    </r>
    <r>
      <rPr>
        <vertAlign val="subscript"/>
        <sz val="11"/>
        <color rgb="FF000000"/>
        <rFont val="Calibri"/>
        <family val="2"/>
      </rPr>
      <t>i</t>
    </r>
  </si>
  <si>
    <r>
      <t>TI</t>
    </r>
    <r>
      <rPr>
        <b/>
        <vertAlign val="subscript"/>
        <sz val="11"/>
        <color rgb="FF000000"/>
        <rFont val="Calibri"/>
        <family val="2"/>
      </rPr>
      <t>basis,2023,i,ex-post</t>
    </r>
  </si>
  <si>
    <t>Inkomsten 2024</t>
  </si>
  <si>
    <t>Inflatieverwachtingen in 2023 o.b.v. consumptieprijsindex</t>
  </si>
  <si>
    <r>
      <t>I</t>
    </r>
    <r>
      <rPr>
        <b/>
        <vertAlign val="subscript"/>
        <sz val="11"/>
        <color rgb="FF000000"/>
        <rFont val="Calibri"/>
        <family val="2"/>
      </rPr>
      <t>2024,v</t>
    </r>
  </si>
  <si>
    <r>
      <t>CPI</t>
    </r>
    <r>
      <rPr>
        <b/>
        <vertAlign val="subscript"/>
        <sz val="11"/>
        <color rgb="FF000000"/>
        <rFont val="Calibri"/>
        <family val="2"/>
      </rPr>
      <t>2024,v</t>
    </r>
  </si>
  <si>
    <t>Toegelaten inkomsten endogene kosten basisgedeelte 2024</t>
  </si>
  <si>
    <r>
      <t>CPI</t>
    </r>
    <r>
      <rPr>
        <vertAlign val="subscript"/>
        <sz val="11"/>
        <color rgb="FF000000"/>
        <rFont val="Calibri"/>
        <family val="2"/>
      </rPr>
      <t>2024,v</t>
    </r>
  </si>
  <si>
    <r>
      <t>TI</t>
    </r>
    <r>
      <rPr>
        <b/>
        <vertAlign val="subscript"/>
        <sz val="11"/>
        <color rgb="FF000000"/>
        <rFont val="Calibri"/>
        <family val="2"/>
      </rPr>
      <t>basis,2024,i</t>
    </r>
  </si>
  <si>
    <t>Ex-ante aanvullende endogene termen 2024</t>
  </si>
  <si>
    <r>
      <t>C</t>
    </r>
    <r>
      <rPr>
        <b/>
        <vertAlign val="subscript"/>
        <sz val="11"/>
        <color rgb="FF000000"/>
        <rFont val="Calibri"/>
        <family val="2"/>
      </rPr>
      <t>A,2024,i</t>
    </r>
  </si>
  <si>
    <r>
      <t>C</t>
    </r>
    <r>
      <rPr>
        <b/>
        <vertAlign val="subscript"/>
        <sz val="11"/>
        <color rgb="FF000000"/>
        <rFont val="Calibri"/>
        <family val="2"/>
      </rPr>
      <t>NI,2024,i</t>
    </r>
  </si>
  <si>
    <r>
      <t>C</t>
    </r>
    <r>
      <rPr>
        <b/>
        <vertAlign val="subscript"/>
        <sz val="11"/>
        <color rgb="FF000000"/>
        <rFont val="Calibri"/>
        <family val="2"/>
      </rPr>
      <t>H,2024,i</t>
    </r>
  </si>
  <si>
    <r>
      <t>VNB</t>
    </r>
    <r>
      <rPr>
        <b/>
        <vertAlign val="subscript"/>
        <sz val="11"/>
        <color rgb="FF000000"/>
        <rFont val="Calibri"/>
        <family val="2"/>
      </rPr>
      <t>2024,i</t>
    </r>
  </si>
  <si>
    <r>
      <t>HWMW</t>
    </r>
    <r>
      <rPr>
        <b/>
        <vertAlign val="subscript"/>
        <sz val="11"/>
        <color rgb="FF000000"/>
        <rFont val="Calibri"/>
        <family val="2"/>
      </rPr>
      <t>2024,i</t>
    </r>
  </si>
  <si>
    <r>
      <t>BM</t>
    </r>
    <r>
      <rPr>
        <b/>
        <vertAlign val="subscript"/>
        <sz val="11"/>
        <color rgb="FF000000"/>
        <rFont val="Calibri"/>
        <family val="2"/>
      </rPr>
      <t>ex-ante,2024,i</t>
    </r>
  </si>
  <si>
    <r>
      <t>BM</t>
    </r>
    <r>
      <rPr>
        <b/>
        <vertAlign val="subscript"/>
        <sz val="11"/>
        <color rgb="FF000000"/>
        <rFont val="Calibri"/>
        <family val="2"/>
      </rPr>
      <t>ex-post,2024,i</t>
    </r>
  </si>
  <si>
    <r>
      <t>BM</t>
    </r>
    <r>
      <rPr>
        <b/>
        <vertAlign val="subscript"/>
        <sz val="11"/>
        <color rgb="FF000000"/>
        <rFont val="Calibri"/>
        <family val="2"/>
      </rPr>
      <t>2024,i</t>
    </r>
  </si>
  <si>
    <r>
      <t>V</t>
    </r>
    <r>
      <rPr>
        <b/>
        <vertAlign val="subscript"/>
        <sz val="10"/>
        <color rgb="FF000000"/>
        <rFont val="Calibri"/>
        <family val="2"/>
      </rPr>
      <t>2024,i</t>
    </r>
    <r>
      <rPr>
        <b/>
        <sz val="10"/>
        <color rgb="FF000000"/>
        <rFont val="Calibri"/>
        <family val="2"/>
      </rPr>
      <t>-TV</t>
    </r>
    <r>
      <rPr>
        <b/>
        <vertAlign val="subscript"/>
        <sz val="10"/>
        <color rgb="FF000000"/>
        <rFont val="Calibri"/>
        <family val="2"/>
      </rPr>
      <t>2024,i</t>
    </r>
  </si>
  <si>
    <t>Toegelaten inkomsten endogene kosten 2024</t>
  </si>
  <si>
    <r>
      <t>TI</t>
    </r>
    <r>
      <rPr>
        <b/>
        <vertAlign val="subscript"/>
        <sz val="10"/>
        <color rgb="FF000000"/>
        <rFont val="Calibri"/>
        <family val="2"/>
      </rPr>
      <t>end,2024,i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</si>
</sst>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#,##0.00\ &quot;€&quot;"/>
    <numFmt numFmtId="166" formatCode="0.000000"/>
    <numFmt numFmtId="167" formatCode="0.000%"/>
    <numFmt numFmtId="168" formatCode="&quot;€&quot;\ #,##0.00"/>
    <numFmt numFmtId="169" formatCode="_-* #,##0.000000\ _€_-;\-* #,##0.000000\ _€_-;_-* &quot;-&quot;??\ _€_-;_-@_-"/>
    <numFmt numFmtId="170" formatCode="#,##0\ &quot;€&quot;"/>
    <numFmt numFmtId="171" formatCode="_-* #,##0\ &quot;€&quot;_-;\-* #,##0\ &quot;€&quot;_-;_-* &quot;-&quot;??\ &quot;€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bscript"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b/>
      <vertAlign val="subscript"/>
      <sz val="10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vertAlign val="subscript"/>
      <sz val="11"/>
      <color rgb="FF000000"/>
      <name val="Calibri"/>
      <family val="2"/>
    </font>
    <font>
      <sz val="11"/>
      <color rgb="FF000000"/>
      <name val="Calibri"/>
      <family val="2"/>
    </font>
    <font>
      <vertAlign val="subscript"/>
      <sz val="11"/>
      <color rgb="FF000000"/>
      <name val="Calibri"/>
      <family val="2"/>
    </font>
    <font>
      <sz val="16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theme="3" tint="0.79998168889431442"/>
        <bgColor indexed="64"/>
      </patternFill>
    </fill>
    <fill>
      <patternFill patternType="lightUp">
        <bgColor theme="0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  <fill>
      <patternFill patternType="lightUp">
        <fgColor rgb="FF000000"/>
        <bgColor rgb="FFFFFFFF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4" borderId="0" xfId="0" applyFill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0" fillId="2" borderId="11" xfId="0" applyFill="1" applyBorder="1"/>
    <xf numFmtId="44" fontId="1" fillId="0" borderId="10" xfId="2" applyFont="1" applyFill="1" applyBorder="1"/>
    <xf numFmtId="10" fontId="1" fillId="0" borderId="10" xfId="2" applyNumberFormat="1" applyFont="1" applyFill="1" applyBorder="1"/>
    <xf numFmtId="0" fontId="0" fillId="2" borderId="12" xfId="0" applyFill="1" applyBorder="1"/>
    <xf numFmtId="44" fontId="1" fillId="5" borderId="10" xfId="2" applyFont="1" applyFill="1" applyBorder="1"/>
    <xf numFmtId="10" fontId="1" fillId="5" borderId="10" xfId="2" applyNumberFormat="1" applyFont="1" applyFill="1" applyBorder="1"/>
    <xf numFmtId="0" fontId="0" fillId="2" borderId="13" xfId="0" applyFill="1" applyBorder="1"/>
    <xf numFmtId="165" fontId="8" fillId="0" borderId="0" xfId="2" applyNumberFormat="1" applyFont="1" applyFill="1" applyBorder="1"/>
    <xf numFmtId="10" fontId="1" fillId="0" borderId="0" xfId="2" applyNumberFormat="1" applyFont="1" applyFill="1" applyBorder="1"/>
    <xf numFmtId="44" fontId="0" fillId="0" borderId="10" xfId="2" applyFont="1" applyBorder="1"/>
    <xf numFmtId="165" fontId="1" fillId="0" borderId="0" xfId="2" applyNumberFormat="1" applyFont="1" applyFill="1" applyBorder="1"/>
    <xf numFmtId="0" fontId="10" fillId="2" borderId="10" xfId="0" applyFont="1" applyFill="1" applyBorder="1" applyAlignment="1">
      <alignment horizontal="center"/>
    </xf>
    <xf numFmtId="0" fontId="0" fillId="2" borderId="10" xfId="0" applyFill="1" applyBorder="1"/>
    <xf numFmtId="44" fontId="1" fillId="2" borderId="10" xfId="2" applyFont="1" applyFill="1" applyBorder="1"/>
    <xf numFmtId="44" fontId="0" fillId="2" borderId="0" xfId="2" applyFont="1" applyFill="1"/>
    <xf numFmtId="0" fontId="3" fillId="2" borderId="10" xfId="0" applyFont="1" applyFill="1" applyBorder="1"/>
    <xf numFmtId="2" fontId="0" fillId="6" borderId="10" xfId="0" applyNumberFormat="1" applyFill="1" applyBorder="1"/>
    <xf numFmtId="10" fontId="1" fillId="2" borderId="10" xfId="3" applyNumberFormat="1" applyFont="1" applyFill="1" applyBorder="1"/>
    <xf numFmtId="0" fontId="3" fillId="2" borderId="10" xfId="0" applyFont="1" applyFill="1" applyBorder="1" applyAlignment="1">
      <alignment horizontal="left"/>
    </xf>
    <xf numFmtId="165" fontId="1" fillId="2" borderId="10" xfId="2" applyNumberFormat="1" applyFont="1" applyFill="1" applyBorder="1"/>
    <xf numFmtId="166" fontId="0" fillId="2" borderId="10" xfId="0" applyNumberFormat="1" applyFill="1" applyBorder="1"/>
    <xf numFmtId="10" fontId="0" fillId="0" borderId="10" xfId="0" applyNumberFormat="1" applyBorder="1"/>
    <xf numFmtId="0" fontId="14" fillId="2" borderId="0" xfId="0" applyFont="1" applyFill="1" applyAlignment="1">
      <alignment horizontal="center"/>
    </xf>
    <xf numFmtId="10" fontId="1" fillId="2" borderId="10" xfId="2" applyNumberFormat="1" applyFont="1" applyFill="1" applyBorder="1"/>
    <xf numFmtId="167" fontId="0" fillId="6" borderId="10" xfId="3" applyNumberFormat="1" applyFont="1" applyFill="1" applyBorder="1" applyAlignment="1">
      <alignment vertical="center"/>
    </xf>
    <xf numFmtId="4" fontId="0" fillId="2" borderId="0" xfId="0" applyNumberFormat="1" applyFill="1"/>
    <xf numFmtId="4" fontId="8" fillId="2" borderId="0" xfId="0" applyNumberFormat="1" applyFont="1" applyFill="1"/>
    <xf numFmtId="10" fontId="1" fillId="7" borderId="10" xfId="2" applyNumberFormat="1" applyFont="1" applyFill="1" applyBorder="1"/>
    <xf numFmtId="167" fontId="1" fillId="7" borderId="10" xfId="3" applyNumberFormat="1" applyFont="1" applyFill="1" applyBorder="1"/>
    <xf numFmtId="165" fontId="1" fillId="7" borderId="10" xfId="2" applyNumberFormat="1" applyFont="1" applyFill="1" applyBorder="1"/>
    <xf numFmtId="165" fontId="3" fillId="2" borderId="0" xfId="0" applyNumberFormat="1" applyFont="1" applyFill="1"/>
    <xf numFmtId="165" fontId="14" fillId="2" borderId="0" xfId="0" applyNumberFormat="1" applyFont="1" applyFill="1"/>
    <xf numFmtId="164" fontId="0" fillId="2" borderId="0" xfId="0" applyNumberFormat="1" applyFill="1"/>
    <xf numFmtId="0" fontId="3" fillId="2" borderId="10" xfId="0" quotePrefix="1" applyFont="1" applyFill="1" applyBorder="1" applyAlignment="1">
      <alignment horizontal="center" vertical="center"/>
    </xf>
    <xf numFmtId="44" fontId="1" fillId="6" borderId="10" xfId="2" applyFont="1" applyFill="1" applyBorder="1"/>
    <xf numFmtId="164" fontId="14" fillId="2" borderId="0" xfId="0" applyNumberFormat="1" applyFont="1" applyFill="1"/>
    <xf numFmtId="0" fontId="14" fillId="2" borderId="0" xfId="0" applyFont="1" applyFill="1"/>
    <xf numFmtId="0" fontId="0" fillId="2" borderId="14" xfId="0" applyFill="1" applyBorder="1"/>
    <xf numFmtId="0" fontId="3" fillId="2" borderId="15" xfId="0" applyFont="1" applyFill="1" applyBorder="1" applyAlignment="1">
      <alignment horizontal="center" vertical="center"/>
    </xf>
    <xf numFmtId="0" fontId="16" fillId="2" borderId="0" xfId="0" applyFont="1" applyFill="1"/>
    <xf numFmtId="44" fontId="1" fillId="2" borderId="16" xfId="2" applyFont="1" applyFill="1" applyBorder="1"/>
    <xf numFmtId="44" fontId="1" fillId="2" borderId="17" xfId="2" applyFont="1" applyFill="1" applyBorder="1"/>
    <xf numFmtId="44" fontId="1" fillId="2" borderId="18" xfId="2" applyFont="1" applyFill="1" applyBorder="1"/>
    <xf numFmtId="0" fontId="2" fillId="2" borderId="0" xfId="0" applyFont="1" applyFill="1"/>
    <xf numFmtId="44" fontId="1" fillId="2" borderId="12" xfId="2" applyFont="1" applyFill="1" applyBorder="1"/>
    <xf numFmtId="44" fontId="1" fillId="7" borderId="16" xfId="2" applyFont="1" applyFill="1" applyBorder="1"/>
    <xf numFmtId="44" fontId="1" fillId="7" borderId="17" xfId="2" applyFont="1" applyFill="1" applyBorder="1"/>
    <xf numFmtId="44" fontId="1" fillId="7" borderId="12" xfId="2" applyFont="1" applyFill="1" applyBorder="1"/>
    <xf numFmtId="44" fontId="1" fillId="2" borderId="13" xfId="2" applyFont="1" applyFill="1" applyBorder="1"/>
    <xf numFmtId="0" fontId="4" fillId="2" borderId="0" xfId="4" applyFill="1"/>
    <xf numFmtId="2" fontId="0" fillId="2" borderId="10" xfId="0" applyNumberFormat="1" applyFill="1" applyBorder="1"/>
    <xf numFmtId="167" fontId="0" fillId="2" borderId="10" xfId="3" applyNumberFormat="1" applyFont="1" applyFill="1" applyBorder="1" applyAlignment="1">
      <alignment vertical="center"/>
    </xf>
    <xf numFmtId="165" fontId="0" fillId="2" borderId="0" xfId="0" applyNumberFormat="1" applyFill="1"/>
    <xf numFmtId="167" fontId="0" fillId="7" borderId="10" xfId="3" applyNumberFormat="1" applyFont="1" applyFill="1" applyBorder="1" applyAlignment="1">
      <alignment vertical="center"/>
    </xf>
    <xf numFmtId="168" fontId="0" fillId="2" borderId="0" xfId="0" applyNumberFormat="1" applyFill="1"/>
    <xf numFmtId="10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44" fontId="0" fillId="2" borderId="10" xfId="2" applyFont="1" applyFill="1" applyBorder="1"/>
    <xf numFmtId="44" fontId="0" fillId="0" borderId="10" xfId="2" applyFont="1" applyFill="1" applyBorder="1"/>
    <xf numFmtId="169" fontId="0" fillId="2" borderId="10" xfId="1" applyNumberFormat="1" applyFont="1" applyFill="1" applyBorder="1" applyAlignment="1">
      <alignment vertical="center"/>
    </xf>
    <xf numFmtId="169" fontId="0" fillId="7" borderId="10" xfId="1" applyNumberFormat="1" applyFont="1" applyFill="1" applyBorder="1" applyAlignment="1">
      <alignment vertical="center"/>
    </xf>
    <xf numFmtId="170" fontId="3" fillId="2" borderId="0" xfId="0" applyNumberFormat="1" applyFont="1" applyFill="1"/>
    <xf numFmtId="165" fontId="1" fillId="2" borderId="16" xfId="2" applyNumberFormat="1" applyFont="1" applyFill="1" applyBorder="1"/>
    <xf numFmtId="168" fontId="2" fillId="2" borderId="0" xfId="0" applyNumberFormat="1" applyFont="1" applyFill="1"/>
    <xf numFmtId="165" fontId="1" fillId="5" borderId="16" xfId="2" applyNumberFormat="1" applyFont="1" applyFill="1" applyBorder="1"/>
    <xf numFmtId="44" fontId="1" fillId="5" borderId="17" xfId="2" applyFont="1" applyFill="1" applyBorder="1"/>
    <xf numFmtId="44" fontId="1" fillId="5" borderId="12" xfId="2" applyFont="1" applyFill="1" applyBorder="1"/>
    <xf numFmtId="168" fontId="16" fillId="2" borderId="0" xfId="0" applyNumberFormat="1" applyFont="1" applyFill="1"/>
    <xf numFmtId="165" fontId="1" fillId="5" borderId="10" xfId="2" applyNumberFormat="1" applyFont="1" applyFill="1" applyBorder="1"/>
    <xf numFmtId="169" fontId="0" fillId="5" borderId="10" xfId="1" applyNumberFormat="1" applyFont="1" applyFill="1" applyBorder="1" applyAlignment="1">
      <alignment vertical="center"/>
    </xf>
    <xf numFmtId="165" fontId="1" fillId="2" borderId="0" xfId="2" applyNumberFormat="1" applyFont="1" applyFill="1" applyBorder="1"/>
    <xf numFmtId="0" fontId="0" fillId="2" borderId="0" xfId="0" applyFill="1" applyAlignment="1">
      <alignment horizontal="center" vertical="center"/>
    </xf>
    <xf numFmtId="169" fontId="0" fillId="2" borderId="0" xfId="1" applyNumberFormat="1" applyFont="1" applyFill="1" applyBorder="1" applyAlignment="1">
      <alignment vertical="center"/>
    </xf>
    <xf numFmtId="44" fontId="17" fillId="6" borderId="10" xfId="2" applyFont="1" applyFill="1" applyBorder="1"/>
    <xf numFmtId="44" fontId="17" fillId="2" borderId="10" xfId="2" applyFont="1" applyFill="1" applyBorder="1"/>
    <xf numFmtId="44" fontId="17" fillId="5" borderId="10" xfId="2" applyFont="1" applyFill="1" applyBorder="1"/>
    <xf numFmtId="10" fontId="1" fillId="2" borderId="0" xfId="2" applyNumberFormat="1" applyFont="1" applyFill="1" applyBorder="1"/>
    <xf numFmtId="171" fontId="3" fillId="2" borderId="0" xfId="2" applyNumberFormat="1" applyFont="1" applyFill="1"/>
    <xf numFmtId="0" fontId="18" fillId="8" borderId="0" xfId="0" applyFont="1" applyFill="1"/>
    <xf numFmtId="0" fontId="19" fillId="8" borderId="0" xfId="0" applyFont="1" applyFill="1"/>
    <xf numFmtId="0" fontId="19" fillId="8" borderId="10" xfId="0" applyFont="1" applyFill="1" applyBorder="1"/>
    <xf numFmtId="2" fontId="18" fillId="9" borderId="10" xfId="0" applyNumberFormat="1" applyFont="1" applyFill="1" applyBorder="1"/>
    <xf numFmtId="2" fontId="18" fillId="8" borderId="10" xfId="0" applyNumberFormat="1" applyFont="1" applyFill="1" applyBorder="1"/>
    <xf numFmtId="10" fontId="21" fillId="8" borderId="10" xfId="3" applyNumberFormat="1" applyFont="1" applyFill="1" applyBorder="1"/>
    <xf numFmtId="0" fontId="18" fillId="8" borderId="10" xfId="0" applyFont="1" applyFill="1" applyBorder="1"/>
    <xf numFmtId="0" fontId="19" fillId="8" borderId="10" xfId="0" applyFont="1" applyFill="1" applyBorder="1" applyAlignment="1">
      <alignment horizontal="center" vertical="center"/>
    </xf>
    <xf numFmtId="165" fontId="21" fillId="8" borderId="10" xfId="2" applyNumberFormat="1" applyFont="1" applyFill="1" applyBorder="1"/>
    <xf numFmtId="169" fontId="18" fillId="8" borderId="10" xfId="1" applyNumberFormat="1" applyFont="1" applyFill="1" applyBorder="1" applyAlignment="1">
      <alignment vertical="center"/>
    </xf>
    <xf numFmtId="165" fontId="21" fillId="10" borderId="10" xfId="2" applyNumberFormat="1" applyFont="1" applyFill="1" applyBorder="1"/>
    <xf numFmtId="169" fontId="18" fillId="10" borderId="10" xfId="1" applyNumberFormat="1" applyFont="1" applyFill="1" applyBorder="1" applyAlignment="1">
      <alignment vertical="center"/>
    </xf>
    <xf numFmtId="165" fontId="21" fillId="8" borderId="0" xfId="2" applyNumberFormat="1" applyFont="1" applyFill="1" applyBorder="1"/>
    <xf numFmtId="0" fontId="18" fillId="8" borderId="0" xfId="0" applyFont="1" applyFill="1" applyAlignment="1">
      <alignment horizontal="center" vertical="center"/>
    </xf>
    <xf numFmtId="169" fontId="18" fillId="8" borderId="0" xfId="1" applyNumberFormat="1" applyFont="1" applyFill="1" applyBorder="1" applyAlignment="1">
      <alignment vertical="center"/>
    </xf>
    <xf numFmtId="0" fontId="19" fillId="8" borderId="10" xfId="0" quotePrefix="1" applyFont="1" applyFill="1" applyBorder="1" applyAlignment="1">
      <alignment horizontal="center" vertical="center"/>
    </xf>
    <xf numFmtId="164" fontId="21" fillId="9" borderId="10" xfId="2" applyNumberFormat="1" applyFont="1" applyFill="1" applyBorder="1"/>
    <xf numFmtId="164" fontId="21" fillId="8" borderId="10" xfId="2" applyNumberFormat="1" applyFont="1" applyFill="1" applyBorder="1"/>
    <xf numFmtId="164" fontId="21" fillId="10" borderId="10" xfId="2" applyNumberFormat="1" applyFont="1" applyFill="1" applyBorder="1"/>
    <xf numFmtId="0" fontId="18" fillId="8" borderId="14" xfId="0" applyFont="1" applyFill="1" applyBorder="1"/>
    <xf numFmtId="0" fontId="19" fillId="8" borderId="15" xfId="0" applyFont="1" applyFill="1" applyBorder="1" applyAlignment="1">
      <alignment horizontal="center" vertical="center"/>
    </xf>
    <xf numFmtId="0" fontId="18" fillId="8" borderId="11" xfId="0" applyFont="1" applyFill="1" applyBorder="1"/>
    <xf numFmtId="165" fontId="21" fillId="8" borderId="16" xfId="2" applyNumberFormat="1" applyFont="1" applyFill="1" applyBorder="1"/>
    <xf numFmtId="164" fontId="21" fillId="8" borderId="17" xfId="2" applyNumberFormat="1" applyFont="1" applyFill="1" applyBorder="1"/>
    <xf numFmtId="164" fontId="21" fillId="8" borderId="18" xfId="2" applyNumberFormat="1" applyFont="1" applyFill="1" applyBorder="1"/>
    <xf numFmtId="0" fontId="18" fillId="8" borderId="12" xfId="0" applyFont="1" applyFill="1" applyBorder="1"/>
    <xf numFmtId="164" fontId="21" fillId="8" borderId="12" xfId="2" applyNumberFormat="1" applyFont="1" applyFill="1" applyBorder="1"/>
    <xf numFmtId="165" fontId="21" fillId="10" borderId="16" xfId="2" applyNumberFormat="1" applyFont="1" applyFill="1" applyBorder="1"/>
    <xf numFmtId="164" fontId="21" fillId="10" borderId="17" xfId="2" applyNumberFormat="1" applyFont="1" applyFill="1" applyBorder="1"/>
    <xf numFmtId="164" fontId="21" fillId="10" borderId="12" xfId="2" applyNumberFormat="1" applyFont="1" applyFill="1" applyBorder="1"/>
    <xf numFmtId="0" fontId="18" fillId="8" borderId="13" xfId="0" applyFont="1" applyFill="1" applyBorder="1"/>
    <xf numFmtId="164" fontId="21" fillId="8" borderId="13" xfId="2" applyNumberFormat="1" applyFont="1" applyFill="1" applyBorder="1"/>
    <xf numFmtId="0" fontId="18" fillId="12" borderId="0" xfId="0" applyFont="1" applyFill="1"/>
    <xf numFmtId="0" fontId="18" fillId="2" borderId="0" xfId="0" applyFont="1" applyFill="1"/>
    <xf numFmtId="0" fontId="18" fillId="13" borderId="0" xfId="0" applyFont="1" applyFill="1"/>
    <xf numFmtId="10" fontId="18" fillId="8" borderId="10" xfId="0" applyNumberFormat="1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23" fillId="11" borderId="7" xfId="0" applyFont="1" applyFill="1" applyBorder="1" applyAlignment="1">
      <alignment horizontal="center"/>
    </xf>
    <xf numFmtId="0" fontId="23" fillId="11" borderId="8" xfId="0" applyFont="1" applyFill="1" applyBorder="1" applyAlignment="1">
      <alignment horizontal="center"/>
    </xf>
    <xf numFmtId="0" fontId="23" fillId="11" borderId="9" xfId="0" applyFont="1" applyFill="1" applyBorder="1" applyAlignment="1">
      <alignment horizontal="center"/>
    </xf>
    <xf numFmtId="10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44" fontId="0" fillId="2" borderId="10" xfId="2" applyFont="1" applyFill="1" applyBorder="1" applyAlignment="1">
      <alignment horizontal="center" vertical="center"/>
    </xf>
    <xf numFmtId="44" fontId="0" fillId="0" borderId="10" xfId="2" applyFont="1" applyFill="1" applyBorder="1" applyAlignment="1">
      <alignment horizontal="center" vertical="center"/>
    </xf>
  </cellXfs>
  <cellStyles count="5">
    <cellStyle name="Hyperlink" xfId="4" builtinId="8"/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777081</xdr:colOff>
      <xdr:row>27</xdr:row>
      <xdr:rowOff>75407</xdr:rowOff>
    </xdr:from>
    <xdr:to>
      <xdr:col>18</xdr:col>
      <xdr:colOff>125585</xdr:colOff>
      <xdr:row>52</xdr:row>
      <xdr:rowOff>84766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C33520C0-B80D-418C-874C-208AF43B4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54956" y="5428457"/>
          <a:ext cx="6492254" cy="4771859"/>
        </a:xfrm>
        <a:prstGeom prst="rect">
          <a:avLst/>
        </a:prstGeom>
      </xdr:spPr>
    </xdr:pic>
    <xdr:clientData/>
  </xdr:twoCellAnchor>
  <xdr:twoCellAnchor editAs="oneCell">
    <xdr:from>
      <xdr:col>10</xdr:col>
      <xdr:colOff>59531</xdr:colOff>
      <xdr:row>110</xdr:row>
      <xdr:rowOff>95250</xdr:rowOff>
    </xdr:from>
    <xdr:to>
      <xdr:col>16</xdr:col>
      <xdr:colOff>389731</xdr:colOff>
      <xdr:row>136</xdr:row>
      <xdr:rowOff>143364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5F61C4B-E23E-494E-B898-28EACD481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9956" y="21688425"/>
          <a:ext cx="7550150" cy="5001114"/>
        </a:xfrm>
        <a:prstGeom prst="rect">
          <a:avLst/>
        </a:prstGeom>
      </xdr:spPr>
    </xdr:pic>
    <xdr:clientData/>
  </xdr:twoCellAnchor>
  <xdr:twoCellAnchor editAs="oneCell">
    <xdr:from>
      <xdr:col>12</xdr:col>
      <xdr:colOff>214313</xdr:colOff>
      <xdr:row>174</xdr:row>
      <xdr:rowOff>166688</xdr:rowOff>
    </xdr:from>
    <xdr:to>
      <xdr:col>20</xdr:col>
      <xdr:colOff>1043900</xdr:colOff>
      <xdr:row>219</xdr:row>
      <xdr:rowOff>57043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95267AA-D634-4051-AF09-CEBAD8465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92188" y="34361438"/>
          <a:ext cx="10354587" cy="846285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274</xdr:row>
      <xdr:rowOff>0</xdr:rowOff>
    </xdr:from>
    <xdr:to>
      <xdr:col>13</xdr:col>
      <xdr:colOff>197380</xdr:colOff>
      <xdr:row>292</xdr:row>
      <xdr:rowOff>18600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218D26D-3840-4242-8B42-C0626E72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20425" y="53882925"/>
          <a:ext cx="3845455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365vreg.sharepoint.com/sites/KT_Tariefregulering/Gedeelde%20%20documenten/TM%2021-24/2%20Toegelaten%20inkomens/T.I.%202024/EXO%20+%20AANV%20ENDO/Definitief/GW_GAS_EXO%20B2024.xlsx" TargetMode="External"/><Relationship Id="rId1" Type="http://schemas.openxmlformats.org/officeDocument/2006/relationships/externalLinkPath" Target="/sites/KT_Tariefregulering/Gedeelde%20%20documenten/TM%2021-24/2%20Toegelaten%20inkomens/T.I.%202024/EXO%20+%20AANV%20ENDO/Definitief/GW_GAS_EXO%20B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365vreg.sharepoint.com/sites/KT_Tariefregulering/Gedeelde%20%20documenten/TM%2021-24/2%20Toegelaten%20inkomens/T.I.%202024/ENDO/Bijlage%2010%20-%20Ex-ante%20TI%202024.xlsx" TargetMode="External"/><Relationship Id="rId1" Type="http://schemas.openxmlformats.org/officeDocument/2006/relationships/externalLinkPath" Target="/sites/KT_Tariefregulering/Gedeelde%20%20documenten/TM%2021-24/2%20Toegelaten%20inkomens/T.I.%202024/ENDO/Bijlage%2010%20-%20Ex-ante%20TI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365vreg.sharepoint.com/sites/KT_Tariefregulering/Gedeelde%20%20documenten/TM%2021-24/2%20Toegelaten%20inkomens/T.I.%202024/EXO%20+%20AANV%20ENDO/Definitief/FA_GAS_EXO%20B2024_v2.xlsx" TargetMode="External"/><Relationship Id="rId1" Type="http://schemas.openxmlformats.org/officeDocument/2006/relationships/externalLinkPath" Target="/sites/KT_Tariefregulering/Gedeelde%20%20documenten/TM%2021-24/2%20Toegelaten%20inkomens/T.I.%202024/EXO%20+%20AANV%20ENDO/Definitief/FA_GAS_EXO%20B2024_v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365vreg.sharepoint.com/sites/KT_Tariefregulering/Gedeelde%20%20documenten/TM%2021-24/2%20Toegelaten%20inkomens/T.I.%202024/EXO%20+%20AANV%20ENDO/Definitief/FL_GAS_EXO%20B2024.xlsx" TargetMode="External"/><Relationship Id="rId1" Type="http://schemas.openxmlformats.org/officeDocument/2006/relationships/externalLinkPath" Target="/sites/KT_Tariefregulering/Gedeelde%20%20documenten/TM%2021-24/2%20Toegelaten%20inkomens/T.I.%202024/EXO%20+%20AANV%20ENDO/Definitief/FL_GAS_EXO%20B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365vreg.sharepoint.com/sites/KT_Tariefregulering/Gedeelde%20%20documenten/TM%2021-24/2%20Toegelaten%20inkomens/T.I.%202024/EXO%20+%20AANV%20ENDO/Definitief/FW_GAS_EXO%20B2024.xlsx" TargetMode="External"/><Relationship Id="rId1" Type="http://schemas.openxmlformats.org/officeDocument/2006/relationships/externalLinkPath" Target="/sites/KT_Tariefregulering/Gedeelde%20%20documenten/TM%2021-24/2%20Toegelaten%20inkomens/T.I.%202024/EXO%20+%20AANV%20ENDO/Definitief/FW_GAS_EXO%20B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365vreg.sharepoint.com/sites/KT_Tariefregulering/Gedeelde%20%20documenten/TM%2021-24/2%20Toegelaten%20inkomens/T.I.%202024/EXO%20+%20AANV%20ENDO/Definitief/IMW_GAS_EXO%20B2024_v2.xlsx" TargetMode="External"/><Relationship Id="rId1" Type="http://schemas.openxmlformats.org/officeDocument/2006/relationships/externalLinkPath" Target="/sites/KT_Tariefregulering/Gedeelde%20%20documenten/TM%2021-24/2%20Toegelaten%20inkomens/T.I.%202024/EXO%20+%20AANV%20ENDO/Definitief/IMW_GAS_EXO%20B2024_v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365vreg.sharepoint.com/sites/KT_Tariefregulering/Gedeelde%20%20documenten/TM%2021-24/2%20Toegelaten%20inkomens/T.I.%202024/EXO%20+%20AANV%20ENDO/Definitief/INT_GAS_EXO%20B2024.xlsx" TargetMode="External"/><Relationship Id="rId1" Type="http://schemas.openxmlformats.org/officeDocument/2006/relationships/externalLinkPath" Target="/sites/KT_Tariefregulering/Gedeelde%20%20documenten/TM%2021-24/2%20Toegelaten%20inkomens/T.I.%202024/EXO%20+%20AANV%20ENDO/Definitief/INT_GAS_EXO%20B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365vreg.sharepoint.com/sites/KT_Tariefregulering/Gedeelde%20%20documenten/TM%2021-24/2%20Toegelaten%20inkomens/T.I.%202024/EXO%20+%20AANV%20ENDO/Definitief/IVK_GAS_EXO%20B2024.xlsx" TargetMode="External"/><Relationship Id="rId1" Type="http://schemas.openxmlformats.org/officeDocument/2006/relationships/externalLinkPath" Target="/sites/KT_Tariefregulering/Gedeelde%20%20documenten/TM%2021-24/2%20Toegelaten%20inkomens/T.I.%202024/EXO%20+%20AANV%20ENDO/Definitief/IVK_GAS_EXO%20B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365vreg.sharepoint.com/sites/KT_Tariefregulering/Gedeelde%20%20documenten/TM%2021-24/2%20Toegelaten%20inkomens/T.I.%202024/EXO%20+%20AANV%20ENDO/Definitief/IVRLK_GAS_EXO%20B2024.xlsx" TargetMode="External"/><Relationship Id="rId1" Type="http://schemas.openxmlformats.org/officeDocument/2006/relationships/externalLinkPath" Target="/sites/KT_Tariefregulering/Gedeelde%20%20documenten/TM%2021-24/2%20Toegelaten%20inkomens/T.I.%202024/EXO%20+%20AANV%20ENDO/Definitief/IVRLK_GAS_EXO%20B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365vreg.sharepoint.com/sites/KT_Tariefregulering/Gedeelde%20%20documenten/TM%2021-24/2%20Toegelaten%20inkomens/T.I.%202024/EXO%20+%20AANV%20ENDO/Definitief/SIB_GAS_EXO%20B2024.xlsx" TargetMode="External"/><Relationship Id="rId1" Type="http://schemas.openxmlformats.org/officeDocument/2006/relationships/externalLinkPath" Target="/sites/KT_Tariefregulering/Gedeelde%20%20documenten/TM%2021-24/2%20Toegelaten%20inkomens/T.I.%202024/EXO%20+%20AANV%20ENDO/Definitief/SIB_GAS_EXO%20B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ELBLAD"/>
      <sheetName val="--&gt; EXO"/>
      <sheetName val="T1"/>
      <sheetName val="T2 - Overzicht"/>
      <sheetName val="T3"/>
      <sheetName val="T4A"/>
      <sheetName val="T4B"/>
      <sheetName val="T5A"/>
      <sheetName val="T5B"/>
      <sheetName val="T5C"/>
      <sheetName val="T5D"/>
      <sheetName val="T5E"/>
      <sheetName val="T5F"/>
      <sheetName val="T6A"/>
      <sheetName val="T6B"/>
      <sheetName val="T7"/>
      <sheetName val="T8"/>
      <sheetName val="--&gt; ENDO"/>
      <sheetName val="T9 - Overzicht"/>
      <sheetName val="T10"/>
      <sheetName val="T11"/>
      <sheetName val="T12"/>
      <sheetName val="T13A"/>
      <sheetName val="T13B"/>
      <sheetName val="T13C"/>
      <sheetName val="T13D"/>
      <sheetName val="T14"/>
      <sheetName val="Werkblad"/>
    </sheetNames>
    <sheetDataSet>
      <sheetData sheetId="0"/>
      <sheetData sheetId="1"/>
      <sheetData sheetId="2"/>
      <sheetData sheetId="3"/>
      <sheetData sheetId="4">
        <row r="229">
          <cell r="D229">
            <v>2523591.2381212632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B20">
            <v>1163508.1000000006</v>
          </cell>
        </row>
        <row r="21">
          <cell r="B21">
            <v>36580.840000000004</v>
          </cell>
        </row>
        <row r="36">
          <cell r="B36">
            <v>5974904.7138570026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zichtstabel"/>
      <sheetName val="T1"/>
      <sheetName val="T2"/>
      <sheetName val="T3"/>
      <sheetName val="T4"/>
      <sheetName val="T5"/>
      <sheetName val="wacc"/>
      <sheetName val="TI_Elek"/>
      <sheetName val="TI_Ex_Elek"/>
      <sheetName val="TI_En_Elek"/>
      <sheetName val="T9"/>
      <sheetName val="Gemeenteversch '19-'21 - ELEK"/>
      <sheetName val="T10"/>
      <sheetName val="TI_Gas"/>
      <sheetName val="TI_Ex_Gas"/>
      <sheetName val="TI_En_Gas"/>
      <sheetName val="Kosten OV"/>
      <sheetName val="T14"/>
      <sheetName val="Gemeenteversch '19-'21 - GAS"/>
      <sheetName val="T15"/>
      <sheetName val="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G6" t="str">
            <v>Gaselwest</v>
          </cell>
          <cell r="H6">
            <v>3065736.3376770401</v>
          </cell>
          <cell r="I6">
            <v>0</v>
          </cell>
          <cell r="J6">
            <v>-3436942.933228496</v>
          </cell>
          <cell r="K6">
            <v>0</v>
          </cell>
        </row>
        <row r="7">
          <cell r="G7" t="str">
            <v>Fluvius Antwerpen</v>
          </cell>
          <cell r="H7">
            <v>3996643.6909790793</v>
          </cell>
          <cell r="I7">
            <v>0</v>
          </cell>
          <cell r="J7">
            <v>-4480566.7472209884</v>
          </cell>
          <cell r="K7">
            <v>0</v>
          </cell>
        </row>
        <row r="8">
          <cell r="G8" t="str">
            <v>Fluvius Limburg</v>
          </cell>
          <cell r="H8">
            <v>4714197.8438378097</v>
          </cell>
          <cell r="I8">
            <v>0</v>
          </cell>
          <cell r="J8">
            <v>-5285004.0514234919</v>
          </cell>
          <cell r="K8">
            <v>0</v>
          </cell>
        </row>
        <row r="9">
          <cell r="G9" t="str">
            <v>Fluvius West</v>
          </cell>
          <cell r="H9">
            <v>681562.95947087661</v>
          </cell>
          <cell r="I9">
            <v>0</v>
          </cell>
          <cell r="J9">
            <v>-764088.21212546783</v>
          </cell>
          <cell r="K9">
            <v>0</v>
          </cell>
        </row>
        <row r="10">
          <cell r="G10" t="str">
            <v>Imewo</v>
          </cell>
          <cell r="H10">
            <v>5893801.1010000594</v>
          </cell>
          <cell r="I10">
            <v>0</v>
          </cell>
          <cell r="J10">
            <v>-6607436.4566149525</v>
          </cell>
          <cell r="K10">
            <v>0</v>
          </cell>
        </row>
        <row r="11">
          <cell r="G11" t="str">
            <v>Intergem</v>
          </cell>
          <cell r="H11">
            <v>2377039.9885256877</v>
          </cell>
          <cell r="I11">
            <v>0</v>
          </cell>
          <cell r="J11">
            <v>-2664857.6037544268</v>
          </cell>
          <cell r="K11">
            <v>0</v>
          </cell>
        </row>
        <row r="12">
          <cell r="G12" t="str">
            <v>Iveka</v>
          </cell>
          <cell r="H12">
            <v>2737600.4123751717</v>
          </cell>
          <cell r="I12">
            <v>0</v>
          </cell>
          <cell r="J12">
            <v>-3069075.5351928286</v>
          </cell>
          <cell r="K12">
            <v>0</v>
          </cell>
        </row>
        <row r="13">
          <cell r="G13" t="str">
            <v>Iverlek</v>
          </cell>
          <cell r="H13">
            <v>4761213.3667318514</v>
          </cell>
          <cell r="I13">
            <v>0</v>
          </cell>
          <cell r="J13">
            <v>-5337712.3248574557</v>
          </cell>
          <cell r="K13">
            <v>0</v>
          </cell>
        </row>
        <row r="14">
          <cell r="G14" t="str">
            <v>PBE</v>
          </cell>
        </row>
        <row r="15">
          <cell r="G15" t="str">
            <v>Sibelgas</v>
          </cell>
          <cell r="H15">
            <v>561916.5598301756</v>
          </cell>
          <cell r="I15">
            <v>0</v>
          </cell>
          <cell r="J15">
            <v>-629954.74386937963</v>
          </cell>
          <cell r="K15">
            <v>0</v>
          </cell>
        </row>
      </sheetData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ELBLAD"/>
      <sheetName val="--&gt; EXO"/>
      <sheetName val="T1"/>
      <sheetName val="T2 - Overzicht"/>
      <sheetName val="T3"/>
      <sheetName val="T4A"/>
      <sheetName val="T4B"/>
      <sheetName val="T5A"/>
      <sheetName val="T5B"/>
      <sheetName val="T5C"/>
      <sheetName val="T5D"/>
      <sheetName val="T5E"/>
      <sheetName val="T5F"/>
      <sheetName val="T6A"/>
      <sheetName val="T6B"/>
      <sheetName val="T7"/>
      <sheetName val="T8"/>
      <sheetName val="--&gt; ENDO"/>
      <sheetName val="T9 - Overzicht"/>
      <sheetName val="T10"/>
      <sheetName val="T11"/>
      <sheetName val="T12"/>
      <sheetName val="T13A"/>
      <sheetName val="T13B"/>
      <sheetName val="T13C"/>
      <sheetName val="T13D"/>
      <sheetName val="T14"/>
      <sheetName val="Werkblad"/>
    </sheetNames>
    <sheetDataSet>
      <sheetData sheetId="0"/>
      <sheetData sheetId="1"/>
      <sheetData sheetId="2"/>
      <sheetData sheetId="3"/>
      <sheetData sheetId="4">
        <row r="229">
          <cell r="D229">
            <v>5268097.1745760869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4">
          <cell r="I74">
            <v>-2019774.6329962679</v>
          </cell>
        </row>
      </sheetData>
      <sheetData sheetId="14"/>
      <sheetData sheetId="15"/>
      <sheetData sheetId="16"/>
      <sheetData sheetId="17"/>
      <sheetData sheetId="18">
        <row r="20">
          <cell r="B20">
            <v>1117179.843333333</v>
          </cell>
        </row>
        <row r="21">
          <cell r="B21">
            <v>23821.146666666667</v>
          </cell>
        </row>
        <row r="36">
          <cell r="B36">
            <v>5732509.1697955001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ELBLAD"/>
      <sheetName val="--&gt; EXO"/>
      <sheetName val="T1"/>
      <sheetName val="T2 - Overzicht"/>
      <sheetName val="T3"/>
      <sheetName val="T4A"/>
      <sheetName val="T4B"/>
      <sheetName val="T5A"/>
      <sheetName val="T5B"/>
      <sheetName val="T5C"/>
      <sheetName val="T5D"/>
      <sheetName val="T5E"/>
      <sheetName val="T5F"/>
      <sheetName val="T6A"/>
      <sheetName val="T6B"/>
      <sheetName val="T7"/>
      <sheetName val="T8"/>
      <sheetName val="--&gt; ENDO"/>
      <sheetName val="T9 - Overzicht"/>
      <sheetName val="T10"/>
      <sheetName val="T11"/>
      <sheetName val="T12"/>
      <sheetName val="T13A"/>
      <sheetName val="T13B"/>
      <sheetName val="T13C"/>
      <sheetName val="T13D"/>
      <sheetName val="T14"/>
      <sheetName val="Werkblad"/>
    </sheetNames>
    <sheetDataSet>
      <sheetData sheetId="0"/>
      <sheetData sheetId="1"/>
      <sheetData sheetId="2"/>
      <sheetData sheetId="3"/>
      <sheetData sheetId="4">
        <row r="229">
          <cell r="D229">
            <v>6340452.8760065045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4">
          <cell r="I74">
            <v>-1399227.3560812296</v>
          </cell>
        </row>
      </sheetData>
      <sheetData sheetId="14"/>
      <sheetData sheetId="15"/>
      <sheetData sheetId="16"/>
      <sheetData sheetId="17"/>
      <sheetData sheetId="18">
        <row r="20">
          <cell r="B20">
            <v>591673.22666666668</v>
          </cell>
        </row>
        <row r="21">
          <cell r="B21">
            <v>50200.513333333336</v>
          </cell>
        </row>
        <row r="36">
          <cell r="B36">
            <v>2928760.5001370003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ELBLAD"/>
      <sheetName val="--&gt; EXO"/>
      <sheetName val="T1"/>
      <sheetName val="T2 - Overzicht"/>
      <sheetName val="T3"/>
      <sheetName val="T4A"/>
      <sheetName val="T4B"/>
      <sheetName val="T5A"/>
      <sheetName val="T5B"/>
      <sheetName val="T5C"/>
      <sheetName val="T5D"/>
      <sheetName val="T5E"/>
      <sheetName val="T5F"/>
      <sheetName val="T6A"/>
      <sheetName val="T6B"/>
      <sheetName val="T7"/>
      <sheetName val="T8"/>
      <sheetName val="--&gt; ENDO"/>
      <sheetName val="T9 - Overzicht"/>
      <sheetName val="T10"/>
      <sheetName val="T11"/>
      <sheetName val="T12"/>
      <sheetName val="T13A"/>
      <sheetName val="T13B"/>
      <sheetName val="T13C"/>
      <sheetName val="T13D"/>
      <sheetName val="T14"/>
      <sheetName val="Werkblad"/>
    </sheetNames>
    <sheetDataSet>
      <sheetData sheetId="0"/>
      <sheetData sheetId="1"/>
      <sheetData sheetId="2"/>
      <sheetData sheetId="3"/>
      <sheetData sheetId="4">
        <row r="229">
          <cell r="D229">
            <v>1177401.8082339657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4">
          <cell r="I74">
            <v>-319431.00337738189</v>
          </cell>
        </row>
      </sheetData>
      <sheetData sheetId="14"/>
      <sheetData sheetId="15"/>
      <sheetData sheetId="16"/>
      <sheetData sheetId="17"/>
      <sheetData sheetId="18">
        <row r="20">
          <cell r="B20">
            <v>241181.91333333342</v>
          </cell>
        </row>
        <row r="21">
          <cell r="B21">
            <v>6660.22</v>
          </cell>
        </row>
        <row r="36">
          <cell r="B36">
            <v>1187370.7890400002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ELBLAD"/>
      <sheetName val="--&gt; EXO"/>
      <sheetName val="T1"/>
      <sheetName val="T2 - Overzicht"/>
      <sheetName val="T3"/>
      <sheetName val="T4A"/>
      <sheetName val="T4B"/>
      <sheetName val="T5A"/>
      <sheetName val="T5B"/>
      <sheetName val="T5C"/>
      <sheetName val="T5D"/>
      <sheetName val="T5E"/>
      <sheetName val="T5F"/>
      <sheetName val="T6A"/>
      <sheetName val="T6B"/>
      <sheetName val="T7"/>
      <sheetName val="T8"/>
      <sheetName val="--&gt; ENDO"/>
      <sheetName val="T9 - Overzicht"/>
      <sheetName val="T10"/>
      <sheetName val="T11"/>
      <sheetName val="T12"/>
      <sheetName val="T13A"/>
      <sheetName val="T13B"/>
      <sheetName val="T13C"/>
      <sheetName val="T13D"/>
      <sheetName val="T14"/>
      <sheetName val="Werkblad"/>
    </sheetNames>
    <sheetDataSet>
      <sheetData sheetId="0"/>
      <sheetData sheetId="1"/>
      <sheetData sheetId="2"/>
      <sheetData sheetId="3"/>
      <sheetData sheetId="4">
        <row r="229">
          <cell r="D229">
            <v>3615299.7630879148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4">
          <cell r="I74">
            <v>-2360998.357306473</v>
          </cell>
        </row>
      </sheetData>
      <sheetData sheetId="14"/>
      <sheetData sheetId="15"/>
      <sheetData sheetId="16"/>
      <sheetData sheetId="17"/>
      <sheetData sheetId="18">
        <row r="20">
          <cell r="B20">
            <v>1089689.1133333333</v>
          </cell>
        </row>
        <row r="21">
          <cell r="B21">
            <v>37364.94</v>
          </cell>
        </row>
        <row r="36">
          <cell r="B36">
            <v>5595825.7006000001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ELBLAD"/>
      <sheetName val="--&gt; EXO"/>
      <sheetName val="T1"/>
      <sheetName val="T2 - Overzicht"/>
      <sheetName val="T3"/>
      <sheetName val="T4A"/>
      <sheetName val="T4B"/>
      <sheetName val="T5A"/>
      <sheetName val="T5B"/>
      <sheetName val="T5C"/>
      <sheetName val="T5D"/>
      <sheetName val="T5E"/>
      <sheetName val="T5F"/>
      <sheetName val="T6A"/>
      <sheetName val="T6B"/>
      <sheetName val="T7"/>
      <sheetName val="T8"/>
      <sheetName val="--&gt; ENDO"/>
      <sheetName val="T9 - Overzicht"/>
      <sheetName val="T10"/>
      <sheetName val="T11"/>
      <sheetName val="T12"/>
      <sheetName val="T13A"/>
      <sheetName val="T13B"/>
      <sheetName val="T13C"/>
      <sheetName val="T13D"/>
      <sheetName val="T14"/>
      <sheetName val="Werkblad"/>
    </sheetNames>
    <sheetDataSet>
      <sheetData sheetId="0"/>
      <sheetData sheetId="1"/>
      <sheetData sheetId="2"/>
      <sheetData sheetId="3"/>
      <sheetData sheetId="4">
        <row r="229">
          <cell r="D229">
            <v>1156997.1405291955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4">
          <cell r="I74">
            <v>-1010223.1154922228</v>
          </cell>
        </row>
      </sheetData>
      <sheetData sheetId="14"/>
      <sheetData sheetId="15"/>
      <sheetData sheetId="16"/>
      <sheetData sheetId="17"/>
      <sheetData sheetId="18">
        <row r="20">
          <cell r="B20">
            <v>644652.8833333333</v>
          </cell>
        </row>
        <row r="21">
          <cell r="B21">
            <v>22823.50333333333</v>
          </cell>
        </row>
        <row r="36">
          <cell r="B36">
            <v>3310453.3398294998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ELBLAD"/>
      <sheetName val="--&gt; EXO"/>
      <sheetName val="T1"/>
      <sheetName val="T2 - Overzicht"/>
      <sheetName val="T3"/>
      <sheetName val="T4A"/>
      <sheetName val="T4B"/>
      <sheetName val="T5A"/>
      <sheetName val="T5B"/>
      <sheetName val="T5C"/>
      <sheetName val="T5D"/>
      <sheetName val="T5E"/>
      <sheetName val="T5F"/>
      <sheetName val="T6A"/>
      <sheetName val="T6B"/>
      <sheetName val="T7"/>
      <sheetName val="T8"/>
      <sheetName val="--&gt; ENDO"/>
      <sheetName val="T9 - Overzicht"/>
      <sheetName val="T10"/>
      <sheetName val="T11"/>
      <sheetName val="T12"/>
      <sheetName val="T13A"/>
      <sheetName val="T13B"/>
      <sheetName val="T13C"/>
      <sheetName val="T13D"/>
      <sheetName val="T14"/>
      <sheetName val="Werkblad"/>
    </sheetNames>
    <sheetDataSet>
      <sheetData sheetId="0"/>
      <sheetData sheetId="1"/>
      <sheetData sheetId="2"/>
      <sheetData sheetId="3"/>
      <sheetData sheetId="4">
        <row r="229">
          <cell r="D229">
            <v>1510426.2805079145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4">
          <cell r="I74">
            <v>-832885.34231690736</v>
          </cell>
        </row>
      </sheetData>
      <sheetData sheetId="14"/>
      <sheetData sheetId="15"/>
      <sheetData sheetId="16"/>
      <sheetData sheetId="17"/>
      <sheetData sheetId="18">
        <row r="20">
          <cell r="B20">
            <v>438878.77333333337</v>
          </cell>
        </row>
        <row r="21">
          <cell r="B21">
            <v>24476.02</v>
          </cell>
        </row>
        <row r="36">
          <cell r="B36">
            <v>2253752.1261519995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ELBLAD"/>
      <sheetName val="--&gt; EXO"/>
      <sheetName val="T1"/>
      <sheetName val="T2 - Overzicht"/>
      <sheetName val="T3"/>
      <sheetName val="T4A"/>
      <sheetName val="T4B"/>
      <sheetName val="T5A"/>
      <sheetName val="T5B"/>
      <sheetName val="T5C"/>
      <sheetName val="T5D"/>
      <sheetName val="T5E"/>
      <sheetName val="T5F"/>
      <sheetName val="T6A"/>
      <sheetName val="T6B"/>
      <sheetName val="T7"/>
      <sheetName val="T8"/>
      <sheetName val="--&gt; ENDO"/>
      <sheetName val="T9 - Overzicht"/>
      <sheetName val="T10"/>
      <sheetName val="T11"/>
      <sheetName val="T12"/>
      <sheetName val="T13A"/>
      <sheetName val="T13B"/>
      <sheetName val="T13C"/>
      <sheetName val="T13D"/>
      <sheetName val="T14"/>
      <sheetName val="Werkblad"/>
    </sheetNames>
    <sheetDataSet>
      <sheetData sheetId="0"/>
      <sheetData sheetId="1"/>
      <sheetData sheetId="2"/>
      <sheetData sheetId="3"/>
      <sheetData sheetId="4">
        <row r="229">
          <cell r="D229">
            <v>2966551.2751478832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4">
          <cell r="I74">
            <v>-2026105.7390364548</v>
          </cell>
        </row>
      </sheetData>
      <sheetData sheetId="14"/>
      <sheetData sheetId="15"/>
      <sheetData sheetId="16"/>
      <sheetData sheetId="17"/>
      <sheetData sheetId="18">
        <row r="20">
          <cell r="B20">
            <v>1002072.0033333335</v>
          </cell>
        </row>
        <row r="21">
          <cell r="B21">
            <v>39315.973333333335</v>
          </cell>
        </row>
        <row r="36">
          <cell r="B36">
            <v>5145890.1007225011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ELBLAD"/>
      <sheetName val="--&gt; EXO"/>
      <sheetName val="T1"/>
      <sheetName val="T2 - Overzicht"/>
      <sheetName val="T3"/>
      <sheetName val="T4A"/>
      <sheetName val="T4B"/>
      <sheetName val="T5A"/>
      <sheetName val="T5B"/>
      <sheetName val="T5C"/>
      <sheetName val="T5D"/>
      <sheetName val="T5E"/>
      <sheetName val="T5F"/>
      <sheetName val="T6A"/>
      <sheetName val="T6B"/>
      <sheetName val="T7"/>
      <sheetName val="T8"/>
      <sheetName val="--&gt; ENDO"/>
      <sheetName val="T9 - Overzicht"/>
      <sheetName val="T10"/>
      <sheetName val="T11"/>
      <sheetName val="T12"/>
      <sheetName val="T13A"/>
      <sheetName val="T13B"/>
      <sheetName val="T13C"/>
      <sheetName val="T13D"/>
      <sheetName val="T14"/>
      <sheetName val="Werkblad"/>
    </sheetNames>
    <sheetDataSet>
      <sheetData sheetId="0"/>
      <sheetData sheetId="1"/>
      <sheetData sheetId="2"/>
      <sheetData sheetId="3"/>
      <sheetData sheetId="4">
        <row r="229">
          <cell r="D229">
            <v>420796.7025814025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4">
          <cell r="I74">
            <v>-215506.42690798183</v>
          </cell>
        </row>
      </sheetData>
      <sheetData sheetId="14"/>
      <sheetData sheetId="15"/>
      <sheetData sheetId="16"/>
      <sheetData sheetId="17"/>
      <sheetData sheetId="18">
        <row r="20">
          <cell r="B20">
            <v>194566.82999999996</v>
          </cell>
        </row>
        <row r="21">
          <cell r="B21">
            <v>3671.5400000000004</v>
          </cell>
        </row>
        <row r="36">
          <cell r="B36">
            <v>999149.16330449993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plan.be/databases/17-nl-indexcijfer_der_consumptieprijzen_inflatievooruitzichten" TargetMode="External"/><Relationship Id="rId1" Type="http://schemas.openxmlformats.org/officeDocument/2006/relationships/hyperlink" Target="https://bestat.statbel.fgov.be/bestat/crosstable.xhtml?view=876acb9d-4eae-408e-93d9-88eae4ad1ea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912E-BB03-4F13-91AB-12042425627F}">
  <dimension ref="A1:L320"/>
  <sheetViews>
    <sheetView tabSelected="1" topLeftCell="C270" workbookViewId="0">
      <selection activeCell="E277" sqref="E277"/>
    </sheetView>
  </sheetViews>
  <sheetFormatPr defaultColWidth="9.140625" defaultRowHeight="15" x14ac:dyDescent="0.25"/>
  <cols>
    <col min="1" max="1" width="6" style="1" customWidth="1"/>
    <col min="2" max="2" width="19.42578125" style="1" customWidth="1"/>
    <col min="3" max="7" width="17.85546875" style="1" customWidth="1"/>
    <col min="8" max="8" width="15.28515625" style="1" customWidth="1"/>
    <col min="9" max="9" width="17.7109375" style="1" customWidth="1"/>
    <col min="10" max="10" width="17.5703125" style="1" customWidth="1"/>
    <col min="11" max="11" width="19" style="1" customWidth="1"/>
    <col min="12" max="21" width="17.85546875" style="1" customWidth="1"/>
    <col min="22" max="16384" width="9.140625" style="1"/>
  </cols>
  <sheetData>
    <row r="1" spans="2:10" ht="15.75" thickBot="1" x14ac:dyDescent="0.3"/>
    <row r="2" spans="2:10" x14ac:dyDescent="0.25">
      <c r="B2" s="126" t="s">
        <v>0</v>
      </c>
      <c r="C2" s="127"/>
      <c r="D2" s="127"/>
      <c r="E2" s="127"/>
      <c r="F2" s="127"/>
      <c r="G2" s="127"/>
      <c r="H2" s="127"/>
      <c r="I2" s="127"/>
      <c r="J2" s="128"/>
    </row>
    <row r="3" spans="2:10" ht="15.75" thickBot="1" x14ac:dyDescent="0.3">
      <c r="B3" s="129"/>
      <c r="C3" s="130"/>
      <c r="D3" s="130"/>
      <c r="E3" s="130"/>
      <c r="F3" s="130"/>
      <c r="G3" s="130"/>
      <c r="H3" s="130"/>
      <c r="I3" s="130"/>
      <c r="J3" s="131"/>
    </row>
    <row r="5" spans="2:10" x14ac:dyDescent="0.25">
      <c r="B5" s="2" t="s">
        <v>1</v>
      </c>
    </row>
    <row r="6" spans="2:10" ht="15.75" thickBot="1" x14ac:dyDescent="0.3"/>
    <row r="7" spans="2:10" ht="21.75" thickBot="1" x14ac:dyDescent="0.4">
      <c r="B7" s="132" t="s">
        <v>2</v>
      </c>
      <c r="C7" s="133"/>
      <c r="D7" s="133"/>
      <c r="E7" s="133"/>
      <c r="F7" s="133"/>
      <c r="G7" s="133"/>
      <c r="H7" s="133"/>
      <c r="I7" s="133"/>
      <c r="J7" s="134"/>
    </row>
    <row r="10" spans="2:10" x14ac:dyDescent="0.25">
      <c r="B10" s="3" t="s">
        <v>3</v>
      </c>
      <c r="C10" s="3"/>
      <c r="D10" s="3"/>
      <c r="E10" s="3"/>
      <c r="F10" s="3"/>
      <c r="G10" s="3"/>
      <c r="H10" s="3"/>
      <c r="I10" s="3"/>
      <c r="J10" s="3"/>
    </row>
    <row r="13" spans="2:10" x14ac:dyDescent="0.25">
      <c r="B13" s="2" t="s">
        <v>4</v>
      </c>
    </row>
    <row r="15" spans="2:10" ht="18.75" thickBot="1" x14ac:dyDescent="0.4">
      <c r="B15" s="4" t="s">
        <v>5</v>
      </c>
      <c r="C15" s="5">
        <v>2015</v>
      </c>
      <c r="D15" s="5">
        <v>2016</v>
      </c>
      <c r="E15" s="5">
        <v>2017</v>
      </c>
      <c r="F15" s="5">
        <v>2018</v>
      </c>
      <c r="G15" s="5">
        <v>2019</v>
      </c>
      <c r="H15" s="5" t="s">
        <v>6</v>
      </c>
    </row>
    <row r="16" spans="2:10" x14ac:dyDescent="0.25">
      <c r="B16" s="6" t="s">
        <v>7</v>
      </c>
      <c r="C16" s="7">
        <v>56500285.26999519</v>
      </c>
      <c r="D16" s="7">
        <v>57035969.441456594</v>
      </c>
      <c r="E16" s="7">
        <v>54990429.6658803</v>
      </c>
      <c r="F16" s="7">
        <v>55679725.574234985</v>
      </c>
      <c r="G16" s="7">
        <v>56234566.08367826</v>
      </c>
      <c r="H16" s="8">
        <f t="shared" ref="H16:H25" si="0">SUM(C16:G16)/SUM($C$16:$G$25)</f>
        <v>0.14542929038935648</v>
      </c>
    </row>
    <row r="17" spans="2:10" x14ac:dyDescent="0.25">
      <c r="B17" s="9" t="s">
        <v>8</v>
      </c>
      <c r="C17" s="7">
        <v>59329252.170831986</v>
      </c>
      <c r="D17" s="7">
        <v>59364846.818917006</v>
      </c>
      <c r="E17" s="7">
        <v>68104494.800119027</v>
      </c>
      <c r="F17" s="7">
        <v>68575136.30812183</v>
      </c>
      <c r="G17" s="7">
        <v>71411755.481614321</v>
      </c>
      <c r="H17" s="8">
        <f t="shared" si="0"/>
        <v>0.16946233018177184</v>
      </c>
    </row>
    <row r="18" spans="2:10" x14ac:dyDescent="0.25">
      <c r="B18" s="9" t="s">
        <v>9</v>
      </c>
      <c r="C18" s="7">
        <v>44323734.680598035</v>
      </c>
      <c r="D18" s="7">
        <v>42886493.59666571</v>
      </c>
      <c r="E18" s="7">
        <v>44811411.173722662</v>
      </c>
      <c r="F18" s="7">
        <v>46469152.160840087</v>
      </c>
      <c r="G18" s="7">
        <v>48025542.874653928</v>
      </c>
      <c r="H18" s="8">
        <f t="shared" si="0"/>
        <v>0.11746539415062818</v>
      </c>
    </row>
    <row r="19" spans="2:10" x14ac:dyDescent="0.25">
      <c r="B19" s="9" t="s">
        <v>10</v>
      </c>
      <c r="C19" s="7">
        <v>10579060.592450643</v>
      </c>
      <c r="D19" s="7">
        <v>10073577.517126566</v>
      </c>
      <c r="E19" s="7">
        <v>10307345.310666911</v>
      </c>
      <c r="F19" s="7">
        <v>10225078.690015767</v>
      </c>
      <c r="G19" s="7">
        <v>10498333.182651317</v>
      </c>
      <c r="H19" s="8">
        <f t="shared" si="0"/>
        <v>2.6801645068501152E-2</v>
      </c>
    </row>
    <row r="20" spans="2:10" x14ac:dyDescent="0.25">
      <c r="B20" s="9" t="s">
        <v>11</v>
      </c>
      <c r="C20" s="7">
        <v>74215698.242847309</v>
      </c>
      <c r="D20" s="7">
        <v>74325960.259248704</v>
      </c>
      <c r="E20" s="7">
        <v>76427071.01167728</v>
      </c>
      <c r="F20" s="7">
        <v>78431673.268044502</v>
      </c>
      <c r="G20" s="7">
        <v>78629541.787275106</v>
      </c>
      <c r="H20" s="8">
        <f t="shared" si="0"/>
        <v>0.19811064892024152</v>
      </c>
    </row>
    <row r="21" spans="2:10" x14ac:dyDescent="0.25">
      <c r="B21" s="9" t="s">
        <v>12</v>
      </c>
      <c r="C21" s="7">
        <v>31480340.275175758</v>
      </c>
      <c r="D21" s="7">
        <v>29298946.280526388</v>
      </c>
      <c r="E21" s="7">
        <v>34416847.543972053</v>
      </c>
      <c r="F21" s="7">
        <v>34078954.857253954</v>
      </c>
      <c r="G21" s="7">
        <v>34176100.401268698</v>
      </c>
      <c r="H21" s="8">
        <f t="shared" si="0"/>
        <v>8.4761473939070353E-2</v>
      </c>
    </row>
    <row r="22" spans="2:10" x14ac:dyDescent="0.25">
      <c r="B22" s="9" t="s">
        <v>13</v>
      </c>
      <c r="C22" s="7">
        <v>25574725.161763221</v>
      </c>
      <c r="D22" s="7">
        <v>25161191.524438001</v>
      </c>
      <c r="E22" s="7">
        <v>27509785.332684044</v>
      </c>
      <c r="F22" s="7">
        <v>28189886.927676138</v>
      </c>
      <c r="G22" s="7">
        <v>28322017.787839469</v>
      </c>
      <c r="H22" s="8">
        <f t="shared" si="0"/>
        <v>6.9881739106088678E-2</v>
      </c>
    </row>
    <row r="23" spans="2:10" x14ac:dyDescent="0.25">
      <c r="B23" s="9" t="s">
        <v>14</v>
      </c>
      <c r="C23" s="7">
        <v>64871474.933628045</v>
      </c>
      <c r="D23" s="7">
        <v>64478821.225067265</v>
      </c>
      <c r="E23" s="7">
        <v>64311415.081327215</v>
      </c>
      <c r="F23" s="7">
        <v>67054419.450006768</v>
      </c>
      <c r="G23" s="7">
        <v>67118137.05058749</v>
      </c>
      <c r="H23" s="8">
        <f t="shared" si="0"/>
        <v>0.1700062009370566</v>
      </c>
    </row>
    <row r="24" spans="2:10" x14ac:dyDescent="0.25">
      <c r="B24" s="9" t="s">
        <v>15</v>
      </c>
      <c r="C24" s="10"/>
      <c r="D24" s="10"/>
      <c r="E24" s="10"/>
      <c r="F24" s="10"/>
      <c r="G24" s="10"/>
      <c r="H24" s="11"/>
    </row>
    <row r="25" spans="2:10" ht="15.75" thickBot="1" x14ac:dyDescent="0.3">
      <c r="B25" s="12" t="s">
        <v>16</v>
      </c>
      <c r="C25" s="7">
        <v>9427369.4988343045</v>
      </c>
      <c r="D25" s="7">
        <v>6820177.2694474887</v>
      </c>
      <c r="E25" s="7">
        <v>5964548.6139391996</v>
      </c>
      <c r="F25" s="7">
        <v>6161291.0571665652</v>
      </c>
      <c r="G25" s="7">
        <v>6493943.535496708</v>
      </c>
      <c r="H25" s="8">
        <f t="shared" si="0"/>
        <v>1.8081277307285065E-2</v>
      </c>
    </row>
    <row r="26" spans="2:10" x14ac:dyDescent="0.25">
      <c r="C26" s="13"/>
      <c r="D26" s="13"/>
      <c r="E26" s="13"/>
      <c r="F26" s="13"/>
      <c r="G26" s="13"/>
      <c r="H26" s="82"/>
    </row>
    <row r="27" spans="2:10" ht="18" x14ac:dyDescent="0.35">
      <c r="B27" s="4" t="s">
        <v>17</v>
      </c>
      <c r="C27" s="7">
        <v>-8500000</v>
      </c>
      <c r="D27" s="7">
        <v>-8500000</v>
      </c>
      <c r="E27" s="7">
        <v>-8500000</v>
      </c>
      <c r="F27" s="7">
        <v>-8500000</v>
      </c>
      <c r="G27" s="15">
        <v>-4231681.75</v>
      </c>
      <c r="H27" s="82"/>
    </row>
    <row r="28" spans="2:10" x14ac:dyDescent="0.25">
      <c r="C28" s="16"/>
      <c r="D28" s="16"/>
      <c r="E28" s="16"/>
      <c r="F28" s="16"/>
      <c r="G28" s="16"/>
      <c r="H28" s="14"/>
    </row>
    <row r="29" spans="2:10" ht="18" x14ac:dyDescent="0.35">
      <c r="B29" s="17" t="s">
        <v>18</v>
      </c>
      <c r="C29" s="5">
        <v>2015</v>
      </c>
      <c r="D29" s="5">
        <v>2016</v>
      </c>
      <c r="E29" s="5">
        <v>2017</v>
      </c>
      <c r="F29" s="5">
        <v>2018</v>
      </c>
      <c r="G29" s="5">
        <v>2019</v>
      </c>
      <c r="I29" s="5" t="s">
        <v>19</v>
      </c>
      <c r="J29" s="5" t="s">
        <v>20</v>
      </c>
    </row>
    <row r="30" spans="2:10" x14ac:dyDescent="0.25">
      <c r="B30" s="18" t="s">
        <v>21</v>
      </c>
      <c r="C30" s="19">
        <f>SUM(C16:C25,C27)</f>
        <v>367801940.82612443</v>
      </c>
      <c r="D30" s="19">
        <f t="shared" ref="D30:G30" si="1">SUM(D16:D25,D27)</f>
        <v>360945983.93289375</v>
      </c>
      <c r="E30" s="19">
        <f t="shared" si="1"/>
        <v>378343348.53398871</v>
      </c>
      <c r="F30" s="19">
        <f t="shared" si="1"/>
        <v>386365318.29336065</v>
      </c>
      <c r="G30" s="19">
        <f t="shared" si="1"/>
        <v>396678256.43506527</v>
      </c>
      <c r="H30" s="20"/>
      <c r="I30" s="19">
        <f>TREND($C$30:$G$30,$C$29:$G$29,2021)</f>
        <v>411295755.8356266</v>
      </c>
      <c r="J30" s="19">
        <f>TREND($C$30:$G$30,$C$29:$G$29,2024)</f>
        <v>436247345.50913048</v>
      </c>
    </row>
    <row r="32" spans="2:10" x14ac:dyDescent="0.25">
      <c r="B32" s="2" t="s">
        <v>22</v>
      </c>
      <c r="I32" s="2" t="s">
        <v>23</v>
      </c>
    </row>
    <row r="33" spans="2:11" ht="15" customHeight="1" x14ac:dyDescent="0.25"/>
    <row r="34" spans="2:11" ht="15" customHeight="1" x14ac:dyDescent="0.35">
      <c r="B34" s="21" t="s">
        <v>24</v>
      </c>
      <c r="C34" s="22">
        <v>111.13</v>
      </c>
      <c r="D34" s="1" t="s">
        <v>25</v>
      </c>
      <c r="I34" s="18" t="s">
        <v>26</v>
      </c>
      <c r="J34" s="18">
        <v>2021</v>
      </c>
    </row>
    <row r="35" spans="2:11" ht="15" customHeight="1" x14ac:dyDescent="0.35">
      <c r="B35" s="21" t="s">
        <v>27</v>
      </c>
      <c r="C35" s="22">
        <v>109.76</v>
      </c>
      <c r="D35" s="1" t="s">
        <v>28</v>
      </c>
      <c r="I35" s="18" t="s">
        <v>29</v>
      </c>
      <c r="J35" s="18">
        <v>2024</v>
      </c>
    </row>
    <row r="36" spans="2:11" ht="15" customHeight="1" x14ac:dyDescent="0.35">
      <c r="B36" s="21" t="s">
        <v>30</v>
      </c>
      <c r="C36" s="23">
        <f>+C34/C35-1</f>
        <v>1.2481778425655898E-2</v>
      </c>
      <c r="I36" s="24" t="s">
        <v>31</v>
      </c>
      <c r="J36" s="18">
        <f>+J35-J34+1</f>
        <v>4</v>
      </c>
    </row>
    <row r="37" spans="2:11" ht="15" customHeight="1" x14ac:dyDescent="0.25">
      <c r="I37" s="24" t="s">
        <v>32</v>
      </c>
      <c r="J37" s="25">
        <f>+I30</f>
        <v>411295755.8356266</v>
      </c>
    </row>
    <row r="38" spans="2:11" ht="15" customHeight="1" x14ac:dyDescent="0.25">
      <c r="B38" s="2" t="s">
        <v>33</v>
      </c>
      <c r="I38" s="24" t="s">
        <v>34</v>
      </c>
      <c r="J38" s="25">
        <f>+J30</f>
        <v>436247345.50913048</v>
      </c>
    </row>
    <row r="39" spans="2:11" ht="15" customHeight="1" x14ac:dyDescent="0.25">
      <c r="I39" s="24" t="s">
        <v>35</v>
      </c>
      <c r="J39" s="26">
        <f>1-POWER(J38/J37,1/3)</f>
        <v>-1.9826257980977147E-2</v>
      </c>
    </row>
    <row r="40" spans="2:11" ht="15" customHeight="1" x14ac:dyDescent="0.25">
      <c r="B40" s="21" t="s">
        <v>36</v>
      </c>
      <c r="C40" s="27">
        <v>4.0000000000000001E-3</v>
      </c>
    </row>
    <row r="42" spans="2:11" x14ac:dyDescent="0.25">
      <c r="B42" s="2" t="s">
        <v>37</v>
      </c>
    </row>
    <row r="44" spans="2:11" ht="18" x14ac:dyDescent="0.25">
      <c r="B44" s="18"/>
      <c r="C44" s="5" t="s">
        <v>32</v>
      </c>
      <c r="D44" s="5" t="s">
        <v>6</v>
      </c>
      <c r="E44" s="5" t="s">
        <v>30</v>
      </c>
      <c r="F44" s="5" t="s">
        <v>36</v>
      </c>
      <c r="G44" s="5" t="s">
        <v>38</v>
      </c>
      <c r="H44" s="5" t="s">
        <v>39</v>
      </c>
      <c r="I44" s="5" t="s">
        <v>40</v>
      </c>
      <c r="J44" s="28"/>
      <c r="K44" s="28"/>
    </row>
    <row r="45" spans="2:11" x14ac:dyDescent="0.25">
      <c r="B45" s="18" t="s">
        <v>7</v>
      </c>
      <c r="C45" s="135">
        <f>+I30</f>
        <v>411295755.8356266</v>
      </c>
      <c r="D45" s="29">
        <f>+H16</f>
        <v>0.14542929038935648</v>
      </c>
      <c r="E45" s="124">
        <f>+C36</f>
        <v>1.2481778425655898E-2</v>
      </c>
      <c r="F45" s="124">
        <f>+C40</f>
        <v>4.0000000000000001E-3</v>
      </c>
      <c r="G45" s="30">
        <v>4.1354096962781971E-5</v>
      </c>
      <c r="H45" s="136">
        <v>6875000</v>
      </c>
      <c r="I45" s="25">
        <f>+($C$45*D45*(1+$E$45-$F$45)*(1+G45))-(D45*$H$45)</f>
        <v>59324451.003558561</v>
      </c>
      <c r="J45" s="31"/>
      <c r="K45" s="32"/>
    </row>
    <row r="46" spans="2:11" x14ac:dyDescent="0.25">
      <c r="B46" s="18" t="s">
        <v>8</v>
      </c>
      <c r="C46" s="135"/>
      <c r="D46" s="29">
        <f t="shared" ref="D46:D54" si="2">+H17</f>
        <v>0.16946233018177184</v>
      </c>
      <c r="E46" s="125"/>
      <c r="F46" s="125"/>
      <c r="G46" s="30">
        <v>5.6018800789664862E-5</v>
      </c>
      <c r="H46" s="136"/>
      <c r="I46" s="25">
        <f t="shared" ref="I46:I54" si="3">+($C$45*D46*(1+$E$45-$F$45)*(1+G46))-(D46*$H$45)</f>
        <v>69129193.874642998</v>
      </c>
      <c r="J46" s="31"/>
      <c r="K46" s="32"/>
    </row>
    <row r="47" spans="2:11" x14ac:dyDescent="0.25">
      <c r="B47" s="18" t="s">
        <v>9</v>
      </c>
      <c r="C47" s="135"/>
      <c r="D47" s="29">
        <f t="shared" si="2"/>
        <v>0.11746539415062818</v>
      </c>
      <c r="E47" s="125"/>
      <c r="F47" s="125"/>
      <c r="G47" s="30">
        <v>-2.4394248044410462E-4</v>
      </c>
      <c r="H47" s="136"/>
      <c r="I47" s="25">
        <f t="shared" si="3"/>
        <v>47903338.240993336</v>
      </c>
      <c r="J47" s="31"/>
      <c r="K47" s="32"/>
    </row>
    <row r="48" spans="2:11" x14ac:dyDescent="0.25">
      <c r="B48" s="18" t="s">
        <v>10</v>
      </c>
      <c r="C48" s="135"/>
      <c r="D48" s="29">
        <f t="shared" si="2"/>
        <v>2.6801645068501152E-2</v>
      </c>
      <c r="E48" s="125"/>
      <c r="F48" s="125"/>
      <c r="G48" s="30">
        <v>3.9220913459452637E-5</v>
      </c>
      <c r="H48" s="136"/>
      <c r="I48" s="25">
        <f t="shared" si="3"/>
        <v>10933075.631857507</v>
      </c>
      <c r="J48" s="31"/>
      <c r="K48" s="32"/>
    </row>
    <row r="49" spans="2:12" x14ac:dyDescent="0.25">
      <c r="B49" s="18" t="s">
        <v>11</v>
      </c>
      <c r="C49" s="135"/>
      <c r="D49" s="29">
        <f t="shared" si="2"/>
        <v>0.19811064892024152</v>
      </c>
      <c r="E49" s="125"/>
      <c r="F49" s="125"/>
      <c r="G49" s="30">
        <v>6.1081671287987923E-6</v>
      </c>
      <c r="H49" s="136"/>
      <c r="I49" s="25">
        <f t="shared" si="3"/>
        <v>80811673.158597052</v>
      </c>
      <c r="J49" s="31"/>
      <c r="K49" s="32"/>
    </row>
    <row r="50" spans="2:12" x14ac:dyDescent="0.25">
      <c r="B50" s="18" t="s">
        <v>12</v>
      </c>
      <c r="C50" s="135"/>
      <c r="D50" s="29">
        <f t="shared" si="2"/>
        <v>8.4761473939070353E-2</v>
      </c>
      <c r="E50" s="125"/>
      <c r="F50" s="125"/>
      <c r="G50" s="30">
        <v>4.3025888959073951E-5</v>
      </c>
      <c r="H50" s="136"/>
      <c r="I50" s="25">
        <f t="shared" si="3"/>
        <v>34576504.100626439</v>
      </c>
      <c r="J50" s="31"/>
      <c r="K50" s="32"/>
    </row>
    <row r="51" spans="2:12" x14ac:dyDescent="0.25">
      <c r="B51" s="18" t="s">
        <v>13</v>
      </c>
      <c r="C51" s="135"/>
      <c r="D51" s="29">
        <f t="shared" si="2"/>
        <v>6.9881739106088678E-2</v>
      </c>
      <c r="E51" s="125"/>
      <c r="F51" s="125"/>
      <c r="G51" s="30">
        <v>4.6267868608704734E-5</v>
      </c>
      <c r="H51" s="136"/>
      <c r="I51" s="25">
        <f t="shared" si="3"/>
        <v>28506750.669088349</v>
      </c>
      <c r="J51" s="31"/>
      <c r="K51" s="32"/>
    </row>
    <row r="52" spans="2:12" x14ac:dyDescent="0.25">
      <c r="B52" s="18" t="s">
        <v>14</v>
      </c>
      <c r="C52" s="135"/>
      <c r="D52" s="29">
        <f t="shared" si="2"/>
        <v>0.1700062009370566</v>
      </c>
      <c r="E52" s="125"/>
      <c r="F52" s="125"/>
      <c r="G52" s="30">
        <v>1.7422346672619028E-5</v>
      </c>
      <c r="H52" s="136"/>
      <c r="I52" s="25">
        <f t="shared" si="3"/>
        <v>69348334.773863018</v>
      </c>
      <c r="J52" s="31"/>
      <c r="K52" s="32"/>
    </row>
    <row r="53" spans="2:12" x14ac:dyDescent="0.25">
      <c r="B53" s="18" t="s">
        <v>15</v>
      </c>
      <c r="C53" s="135"/>
      <c r="D53" s="33"/>
      <c r="E53" s="125"/>
      <c r="F53" s="125"/>
      <c r="G53" s="34"/>
      <c r="H53" s="136"/>
      <c r="I53" s="35"/>
      <c r="J53" s="31"/>
      <c r="K53" s="32"/>
    </row>
    <row r="54" spans="2:12" x14ac:dyDescent="0.25">
      <c r="B54" s="18" t="s">
        <v>16</v>
      </c>
      <c r="C54" s="135"/>
      <c r="D54" s="29">
        <f t="shared" si="2"/>
        <v>1.8081277307285065E-2</v>
      </c>
      <c r="E54" s="125"/>
      <c r="F54" s="125"/>
      <c r="G54" s="30">
        <v>5.775121071742058E-5</v>
      </c>
      <c r="H54" s="136"/>
      <c r="I54" s="25">
        <f t="shared" si="3"/>
        <v>7375953.8472200381</v>
      </c>
      <c r="J54" s="31"/>
      <c r="K54" s="32"/>
    </row>
    <row r="55" spans="2:12" x14ac:dyDescent="0.25">
      <c r="I55" s="36">
        <f>SUM(I45:I54)</f>
        <v>407909275.30044734</v>
      </c>
      <c r="J55" s="36"/>
      <c r="K55" s="37"/>
    </row>
    <row r="56" spans="2:12" x14ac:dyDescent="0.25">
      <c r="B56" s="2" t="s">
        <v>41</v>
      </c>
      <c r="I56" s="38"/>
    </row>
    <row r="58" spans="2:12" ht="18" x14ac:dyDescent="0.25">
      <c r="B58" s="18"/>
      <c r="C58" s="5" t="s">
        <v>42</v>
      </c>
      <c r="D58" s="5" t="s">
        <v>43</v>
      </c>
      <c r="E58" s="5" t="s">
        <v>44</v>
      </c>
      <c r="F58" s="5" t="s">
        <v>45</v>
      </c>
      <c r="G58" s="5" t="s">
        <v>46</v>
      </c>
      <c r="H58" s="5" t="s">
        <v>47</v>
      </c>
      <c r="I58" s="5" t="s">
        <v>48</v>
      </c>
      <c r="J58" s="5" t="s">
        <v>49</v>
      </c>
      <c r="K58" s="39" t="s">
        <v>50</v>
      </c>
      <c r="L58" s="5" t="s">
        <v>51</v>
      </c>
    </row>
    <row r="59" spans="2:12" x14ac:dyDescent="0.25">
      <c r="B59" s="18" t="s">
        <v>7</v>
      </c>
      <c r="C59" s="40">
        <v>1163974.2406666668</v>
      </c>
      <c r="D59" s="40">
        <v>0</v>
      </c>
      <c r="E59" s="40">
        <v>31955.8025275199</v>
      </c>
      <c r="F59" s="19">
        <f>+C59+D59+E59</f>
        <v>1195930.0431941866</v>
      </c>
      <c r="G59" s="40">
        <v>7830636.6354066003</v>
      </c>
      <c r="H59" s="40">
        <v>0</v>
      </c>
      <c r="I59" s="40">
        <v>0</v>
      </c>
      <c r="J59" s="19">
        <f>+H59+I59</f>
        <v>0</v>
      </c>
      <c r="K59" s="19">
        <v>3065736.3376770401</v>
      </c>
      <c r="L59" s="19">
        <f>+F59+G59+J59+K59</f>
        <v>12092303.016277827</v>
      </c>
    </row>
    <row r="60" spans="2:12" x14ac:dyDescent="0.25">
      <c r="B60" s="18" t="s">
        <v>8</v>
      </c>
      <c r="C60" s="40">
        <v>1056349.9398386669</v>
      </c>
      <c r="D60" s="40">
        <v>0</v>
      </c>
      <c r="E60" s="40">
        <v>21012.508916516501</v>
      </c>
      <c r="F60" s="19">
        <f t="shared" ref="F60:F68" si="4">+C60+D60+E60</f>
        <v>1077362.4487551835</v>
      </c>
      <c r="G60" s="40">
        <v>7337777.9357214188</v>
      </c>
      <c r="H60" s="40">
        <v>0</v>
      </c>
      <c r="I60" s="40">
        <v>0</v>
      </c>
      <c r="J60" s="19">
        <f t="shared" ref="J60:J68" si="5">+H60+I60</f>
        <v>0</v>
      </c>
      <c r="K60" s="19">
        <v>3996643.6909790793</v>
      </c>
      <c r="L60" s="19">
        <f t="shared" ref="L60:L68" si="6">+F60+G60+J60+K60</f>
        <v>12411784.07545568</v>
      </c>
    </row>
    <row r="61" spans="2:12" x14ac:dyDescent="0.25">
      <c r="B61" s="18" t="s">
        <v>9</v>
      </c>
      <c r="C61" s="40">
        <v>612726.83046666672</v>
      </c>
      <c r="D61" s="40">
        <v>0</v>
      </c>
      <c r="E61" s="40">
        <v>43892.443333333329</v>
      </c>
      <c r="F61" s="19">
        <f t="shared" si="4"/>
        <v>656619.27380000008</v>
      </c>
      <c r="G61" s="40">
        <v>3869754.9945015004</v>
      </c>
      <c r="H61" s="40">
        <v>0</v>
      </c>
      <c r="I61" s="40">
        <v>0</v>
      </c>
      <c r="J61" s="19">
        <f t="shared" si="5"/>
        <v>0</v>
      </c>
      <c r="K61" s="19">
        <v>4714197.8438378097</v>
      </c>
      <c r="L61" s="19">
        <f t="shared" si="6"/>
        <v>9240572.1121393107</v>
      </c>
    </row>
    <row r="62" spans="2:12" x14ac:dyDescent="0.25">
      <c r="B62" s="18" t="s">
        <v>10</v>
      </c>
      <c r="C62" s="40">
        <v>236087.72737733333</v>
      </c>
      <c r="D62" s="40">
        <v>0</v>
      </c>
      <c r="E62" s="40">
        <v>5810.1500000000005</v>
      </c>
      <c r="F62" s="19">
        <f t="shared" si="4"/>
        <v>241897.87737733332</v>
      </c>
      <c r="G62" s="40">
        <v>1559557.5340880789</v>
      </c>
      <c r="H62" s="40">
        <v>0</v>
      </c>
      <c r="I62" s="40">
        <v>0</v>
      </c>
      <c r="J62" s="19">
        <f t="shared" si="5"/>
        <v>0</v>
      </c>
      <c r="K62" s="19">
        <v>681562.95947087661</v>
      </c>
      <c r="L62" s="19">
        <f t="shared" si="6"/>
        <v>2483018.370936289</v>
      </c>
    </row>
    <row r="63" spans="2:12" x14ac:dyDescent="0.25">
      <c r="B63" s="18" t="s">
        <v>11</v>
      </c>
      <c r="C63" s="40">
        <v>1090599.7309999999</v>
      </c>
      <c r="D63" s="40">
        <v>0</v>
      </c>
      <c r="E63" s="40">
        <v>32595.893283605106</v>
      </c>
      <c r="F63" s="19">
        <f t="shared" si="4"/>
        <v>1123195.624283605</v>
      </c>
      <c r="G63" s="40">
        <v>7337009.5986808995</v>
      </c>
      <c r="H63" s="40">
        <v>0</v>
      </c>
      <c r="I63" s="40">
        <v>0</v>
      </c>
      <c r="J63" s="19">
        <f t="shared" si="5"/>
        <v>0</v>
      </c>
      <c r="K63" s="19">
        <v>5893801.1010000594</v>
      </c>
      <c r="L63" s="19">
        <f t="shared" si="6"/>
        <v>14354006.323964564</v>
      </c>
    </row>
    <row r="64" spans="2:12" x14ac:dyDescent="0.25">
      <c r="B64" s="18" t="s">
        <v>12</v>
      </c>
      <c r="C64" s="40">
        <v>644646.68666666653</v>
      </c>
      <c r="D64" s="40">
        <v>0</v>
      </c>
      <c r="E64" s="40">
        <v>19910.433333333334</v>
      </c>
      <c r="F64" s="19">
        <f t="shared" si="4"/>
        <v>664557.11999999988</v>
      </c>
      <c r="G64" s="40">
        <v>4336859.9794000005</v>
      </c>
      <c r="H64" s="40">
        <v>0</v>
      </c>
      <c r="I64" s="40">
        <v>0</v>
      </c>
      <c r="J64" s="19">
        <f t="shared" si="5"/>
        <v>0</v>
      </c>
      <c r="K64" s="19">
        <v>2377039.9885256877</v>
      </c>
      <c r="L64" s="19">
        <f t="shared" si="6"/>
        <v>7378457.0879256884</v>
      </c>
    </row>
    <row r="65" spans="2:12" x14ac:dyDescent="0.25">
      <c r="B65" s="18" t="s">
        <v>13</v>
      </c>
      <c r="C65" s="40">
        <v>439055.64999999991</v>
      </c>
      <c r="D65" s="40">
        <v>0</v>
      </c>
      <c r="E65" s="40">
        <v>21352.042949423001</v>
      </c>
      <c r="F65" s="19">
        <f t="shared" si="4"/>
        <v>460407.69294942293</v>
      </c>
      <c r="G65" s="40">
        <v>2953746.721225</v>
      </c>
      <c r="H65" s="40">
        <v>0</v>
      </c>
      <c r="I65" s="40">
        <v>0</v>
      </c>
      <c r="J65" s="19">
        <f t="shared" si="5"/>
        <v>0</v>
      </c>
      <c r="K65" s="19">
        <v>2737600.4123751717</v>
      </c>
      <c r="L65" s="19">
        <f t="shared" si="6"/>
        <v>6151754.8265495952</v>
      </c>
    </row>
    <row r="66" spans="2:12" x14ac:dyDescent="0.25">
      <c r="B66" s="18" t="s">
        <v>14</v>
      </c>
      <c r="C66" s="40">
        <v>1002069.6066666668</v>
      </c>
      <c r="D66" s="40">
        <v>0</v>
      </c>
      <c r="E66" s="40">
        <v>34525.709820002689</v>
      </c>
      <c r="F66" s="19">
        <f t="shared" si="4"/>
        <v>1036595.3164866695</v>
      </c>
      <c r="G66" s="40">
        <v>6741423.0370000014</v>
      </c>
      <c r="H66" s="40">
        <v>0</v>
      </c>
      <c r="I66" s="40">
        <v>0</v>
      </c>
      <c r="J66" s="19">
        <f t="shared" si="5"/>
        <v>0</v>
      </c>
      <c r="K66" s="19">
        <v>4761213.3667318514</v>
      </c>
      <c r="L66" s="19">
        <f t="shared" si="6"/>
        <v>12539231.720218522</v>
      </c>
    </row>
    <row r="67" spans="2:12" x14ac:dyDescent="0.25">
      <c r="B67" s="18" t="s">
        <v>15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2:12" x14ac:dyDescent="0.25">
      <c r="B68" s="18" t="s">
        <v>16</v>
      </c>
      <c r="C68" s="40">
        <v>195368.12666666662</v>
      </c>
      <c r="D68" s="40">
        <v>0</v>
      </c>
      <c r="E68" s="40">
        <v>3251.594860139578</v>
      </c>
      <c r="F68" s="19">
        <f t="shared" si="4"/>
        <v>198619.72152680618</v>
      </c>
      <c r="G68" s="40">
        <v>1314338.8289000001</v>
      </c>
      <c r="H68" s="40">
        <v>0</v>
      </c>
      <c r="I68" s="40">
        <v>0</v>
      </c>
      <c r="J68" s="19">
        <f t="shared" si="5"/>
        <v>0</v>
      </c>
      <c r="K68" s="19">
        <v>561916.5598301756</v>
      </c>
      <c r="L68" s="19">
        <f t="shared" si="6"/>
        <v>2074875.110256982</v>
      </c>
    </row>
    <row r="69" spans="2:12" x14ac:dyDescent="0.25">
      <c r="C69" s="32"/>
      <c r="D69" s="32"/>
      <c r="E69" s="32"/>
      <c r="F69" s="41">
        <f>SUM(F59:F68)</f>
        <v>6655185.1183732068</v>
      </c>
      <c r="G69" s="41">
        <f>SUM(G59:G68)</f>
        <v>43281105.264923498</v>
      </c>
      <c r="H69" s="42"/>
      <c r="I69" s="42"/>
      <c r="J69" s="42"/>
      <c r="K69" s="41">
        <f>SUM(K59:K68)</f>
        <v>28789712.260427754</v>
      </c>
      <c r="L69" s="2"/>
    </row>
    <row r="70" spans="2:12" x14ac:dyDescent="0.25">
      <c r="B70" s="2" t="s">
        <v>52</v>
      </c>
    </row>
    <row r="71" spans="2:12" ht="15.75" thickBot="1" x14ac:dyDescent="0.3"/>
    <row r="72" spans="2:12" ht="18.75" thickBot="1" x14ac:dyDescent="0.3">
      <c r="B72" s="43"/>
      <c r="C72" s="5" t="s">
        <v>40</v>
      </c>
      <c r="D72" s="5" t="str">
        <f t="shared" ref="D72:D80" si="7">+L58</f>
        <v>Totaal aanvullend</v>
      </c>
      <c r="E72" s="44" t="s">
        <v>53</v>
      </c>
      <c r="H72" s="45"/>
      <c r="I72" s="45"/>
    </row>
    <row r="73" spans="2:12" x14ac:dyDescent="0.25">
      <c r="B73" s="6" t="s">
        <v>7</v>
      </c>
      <c r="C73" s="46">
        <f t="shared" ref="C73:C80" si="8">+I45</f>
        <v>59324451.003558561</v>
      </c>
      <c r="D73" s="47">
        <f t="shared" si="7"/>
        <v>12092303.016277827</v>
      </c>
      <c r="E73" s="48">
        <f>+C73+D73</f>
        <v>71416754.019836396</v>
      </c>
      <c r="F73" s="38"/>
      <c r="G73" s="38"/>
      <c r="H73" s="49"/>
      <c r="I73" s="49"/>
    </row>
    <row r="74" spans="2:12" x14ac:dyDescent="0.25">
      <c r="B74" s="9" t="s">
        <v>8</v>
      </c>
      <c r="C74" s="46">
        <f t="shared" si="8"/>
        <v>69129193.874642998</v>
      </c>
      <c r="D74" s="47">
        <f t="shared" si="7"/>
        <v>12411784.07545568</v>
      </c>
      <c r="E74" s="50">
        <f t="shared" ref="E74:E82" si="9">+C74+D74</f>
        <v>81540977.950098678</v>
      </c>
      <c r="F74" s="20"/>
      <c r="G74" s="38"/>
      <c r="H74" s="49"/>
      <c r="I74" s="49"/>
    </row>
    <row r="75" spans="2:12" x14ac:dyDescent="0.25">
      <c r="B75" s="9" t="s">
        <v>9</v>
      </c>
      <c r="C75" s="46">
        <f t="shared" si="8"/>
        <v>47903338.240993336</v>
      </c>
      <c r="D75" s="47">
        <f t="shared" si="7"/>
        <v>9240572.1121393107</v>
      </c>
      <c r="E75" s="50">
        <f t="shared" si="9"/>
        <v>57143910.35313265</v>
      </c>
      <c r="F75" s="20"/>
      <c r="G75" s="38"/>
      <c r="H75" s="49"/>
      <c r="I75" s="49"/>
    </row>
    <row r="76" spans="2:12" x14ac:dyDescent="0.25">
      <c r="B76" s="9" t="s">
        <v>10</v>
      </c>
      <c r="C76" s="46">
        <f t="shared" si="8"/>
        <v>10933075.631857507</v>
      </c>
      <c r="D76" s="47">
        <f t="shared" si="7"/>
        <v>2483018.370936289</v>
      </c>
      <c r="E76" s="50">
        <f t="shared" si="9"/>
        <v>13416094.002793796</v>
      </c>
      <c r="F76" s="20"/>
      <c r="G76" s="38"/>
      <c r="H76" s="49"/>
      <c r="I76" s="49"/>
    </row>
    <row r="77" spans="2:12" x14ac:dyDescent="0.25">
      <c r="B77" s="9" t="s">
        <v>11</v>
      </c>
      <c r="C77" s="46">
        <f t="shared" si="8"/>
        <v>80811673.158597052</v>
      </c>
      <c r="D77" s="47">
        <f t="shared" si="7"/>
        <v>14354006.323964564</v>
      </c>
      <c r="E77" s="50">
        <f t="shared" si="9"/>
        <v>95165679.482561618</v>
      </c>
      <c r="F77" s="20"/>
      <c r="G77" s="38"/>
      <c r="H77" s="49"/>
      <c r="I77" s="49"/>
    </row>
    <row r="78" spans="2:12" x14ac:dyDescent="0.25">
      <c r="B78" s="9" t="s">
        <v>12</v>
      </c>
      <c r="C78" s="46">
        <f t="shared" si="8"/>
        <v>34576504.100626439</v>
      </c>
      <c r="D78" s="47">
        <f t="shared" si="7"/>
        <v>7378457.0879256884</v>
      </c>
      <c r="E78" s="50">
        <f t="shared" si="9"/>
        <v>41954961.188552126</v>
      </c>
      <c r="F78" s="20"/>
      <c r="G78" s="38"/>
      <c r="H78" s="49"/>
      <c r="I78" s="49"/>
    </row>
    <row r="79" spans="2:12" x14ac:dyDescent="0.25">
      <c r="B79" s="9" t="s">
        <v>13</v>
      </c>
      <c r="C79" s="46">
        <f t="shared" si="8"/>
        <v>28506750.669088349</v>
      </c>
      <c r="D79" s="47">
        <f t="shared" si="7"/>
        <v>6151754.8265495952</v>
      </c>
      <c r="E79" s="50">
        <f t="shared" si="9"/>
        <v>34658505.495637946</v>
      </c>
      <c r="F79" s="20"/>
      <c r="G79" s="38"/>
      <c r="H79" s="49"/>
      <c r="I79" s="49"/>
    </row>
    <row r="80" spans="2:12" x14ac:dyDescent="0.25">
      <c r="B80" s="9" t="s">
        <v>14</v>
      </c>
      <c r="C80" s="46">
        <f t="shared" si="8"/>
        <v>69348334.773863018</v>
      </c>
      <c r="D80" s="47">
        <f t="shared" si="7"/>
        <v>12539231.720218522</v>
      </c>
      <c r="E80" s="50">
        <f t="shared" si="9"/>
        <v>81887566.494081542</v>
      </c>
      <c r="F80" s="20"/>
      <c r="G80" s="38"/>
      <c r="H80" s="49"/>
      <c r="I80" s="49"/>
    </row>
    <row r="81" spans="1:12" x14ac:dyDescent="0.25">
      <c r="B81" s="9" t="s">
        <v>15</v>
      </c>
      <c r="C81" s="51"/>
      <c r="D81" s="52"/>
      <c r="E81" s="53"/>
      <c r="G81" s="38"/>
      <c r="H81" s="49"/>
      <c r="I81" s="49"/>
    </row>
    <row r="82" spans="1:12" ht="15.75" thickBot="1" x14ac:dyDescent="0.3">
      <c r="B82" s="12" t="s">
        <v>16</v>
      </c>
      <c r="C82" s="46">
        <f>+I54</f>
        <v>7375953.8472200381</v>
      </c>
      <c r="D82" s="47">
        <f>+L68</f>
        <v>2074875.110256982</v>
      </c>
      <c r="E82" s="54">
        <f t="shared" si="9"/>
        <v>9450828.9574770201</v>
      </c>
      <c r="F82" s="20"/>
      <c r="G82" s="38"/>
      <c r="H82" s="49"/>
      <c r="I82" s="49"/>
    </row>
    <row r="83" spans="1:12" x14ac:dyDescent="0.25">
      <c r="C83" s="36">
        <f t="shared" ref="C83:E83" si="10">SUM(C73:C82)</f>
        <v>407909275.30044734</v>
      </c>
      <c r="D83" s="36">
        <f t="shared" si="10"/>
        <v>78726002.643724456</v>
      </c>
      <c r="E83" s="36">
        <f t="shared" si="10"/>
        <v>486635277.94417185</v>
      </c>
      <c r="H83" s="49"/>
      <c r="I83" s="49"/>
    </row>
    <row r="85" spans="1:12" customFormat="1" x14ac:dyDescent="0.25">
      <c r="A85" s="1"/>
      <c r="B85" s="3" t="s">
        <v>54</v>
      </c>
      <c r="C85" s="3"/>
      <c r="D85" s="3"/>
      <c r="E85" s="3"/>
      <c r="F85" s="3"/>
      <c r="G85" s="3"/>
      <c r="H85" s="3"/>
      <c r="I85" s="3"/>
      <c r="J85" s="3"/>
      <c r="K85" s="1"/>
      <c r="L85" s="1"/>
    </row>
    <row r="87" spans="1:12" x14ac:dyDescent="0.25">
      <c r="B87" s="2" t="s">
        <v>55</v>
      </c>
    </row>
    <row r="89" spans="1:12" ht="18" x14ac:dyDescent="0.35">
      <c r="B89" s="21" t="s">
        <v>56</v>
      </c>
      <c r="C89" s="22">
        <v>112.25</v>
      </c>
      <c r="D89" s="1" t="s">
        <v>28</v>
      </c>
      <c r="E89" s="55" t="s">
        <v>57</v>
      </c>
    </row>
    <row r="90" spans="1:12" ht="18" x14ac:dyDescent="0.35">
      <c r="B90" s="21" t="s">
        <v>27</v>
      </c>
      <c r="C90" s="56">
        <f>+C35</f>
        <v>109.76</v>
      </c>
      <c r="D90" s="1" t="s">
        <v>28</v>
      </c>
    </row>
    <row r="91" spans="1:12" ht="18" x14ac:dyDescent="0.35">
      <c r="B91" s="21" t="s">
        <v>58</v>
      </c>
      <c r="C91" s="23">
        <f>+C89/C90-1</f>
        <v>2.2685860058309082E-2</v>
      </c>
    </row>
    <row r="93" spans="1:12" x14ac:dyDescent="0.25">
      <c r="B93" s="2" t="s">
        <v>59</v>
      </c>
    </row>
    <row r="95" spans="1:12" ht="18" x14ac:dyDescent="0.25">
      <c r="B95" s="18"/>
      <c r="C95" s="5" t="s">
        <v>32</v>
      </c>
      <c r="D95" s="5" t="s">
        <v>6</v>
      </c>
      <c r="E95" s="5" t="s">
        <v>58</v>
      </c>
      <c r="F95" s="5" t="s">
        <v>36</v>
      </c>
      <c r="G95" s="5" t="s">
        <v>38</v>
      </c>
      <c r="H95" s="5" t="s">
        <v>39</v>
      </c>
      <c r="I95" s="5" t="s">
        <v>60</v>
      </c>
    </row>
    <row r="96" spans="1:12" x14ac:dyDescent="0.25">
      <c r="B96" s="18" t="s">
        <v>7</v>
      </c>
      <c r="C96" s="135">
        <f>+I30</f>
        <v>411295755.8356266</v>
      </c>
      <c r="D96" s="29">
        <f t="shared" ref="D96:D103" si="11">+H16</f>
        <v>0.14542929038935648</v>
      </c>
      <c r="E96" s="124">
        <f>+C91</f>
        <v>2.2685860058309082E-2</v>
      </c>
      <c r="F96" s="124">
        <f>+$C$40</f>
        <v>4.0000000000000001E-3</v>
      </c>
      <c r="G96" s="57">
        <f>+G45</f>
        <v>4.1354096962781971E-5</v>
      </c>
      <c r="H96" s="135">
        <f>+H45</f>
        <v>6875000</v>
      </c>
      <c r="I96" s="25">
        <f>+($C$96*D96*(1+$E$96-$F$96)*(1+G96))-(D96*$H$96)</f>
        <v>59934827.773802347</v>
      </c>
      <c r="K96" s="58"/>
    </row>
    <row r="97" spans="1:12" x14ac:dyDescent="0.25">
      <c r="B97" s="18" t="s">
        <v>8</v>
      </c>
      <c r="C97" s="135"/>
      <c r="D97" s="29">
        <f t="shared" si="11"/>
        <v>0.16946233018177184</v>
      </c>
      <c r="E97" s="125"/>
      <c r="F97" s="125"/>
      <c r="G97" s="57">
        <f t="shared" ref="G97:G103" si="12">+G46</f>
        <v>5.6018800789664862E-5</v>
      </c>
      <c r="H97" s="135"/>
      <c r="I97" s="25">
        <f t="shared" ref="I97:I105" si="13">+($C$96*D97*(1+$E$96-$F$96)*(1+G97))-(D97*$H$96)</f>
        <v>69840449.401580364</v>
      </c>
      <c r="K97" s="58"/>
    </row>
    <row r="98" spans="1:12" x14ac:dyDescent="0.25">
      <c r="B98" s="18" t="s">
        <v>9</v>
      </c>
      <c r="C98" s="135"/>
      <c r="D98" s="29">
        <f t="shared" si="11"/>
        <v>0.11746539415062818</v>
      </c>
      <c r="E98" s="125"/>
      <c r="F98" s="125"/>
      <c r="G98" s="57">
        <f t="shared" si="12"/>
        <v>-2.4394248044410462E-4</v>
      </c>
      <c r="H98" s="135"/>
      <c r="I98" s="25">
        <f t="shared" si="13"/>
        <v>48396207.960118301</v>
      </c>
      <c r="K98" s="58"/>
    </row>
    <row r="99" spans="1:12" x14ac:dyDescent="0.25">
      <c r="B99" s="18" t="s">
        <v>10</v>
      </c>
      <c r="C99" s="135"/>
      <c r="D99" s="29">
        <f t="shared" si="11"/>
        <v>2.6801645068501152E-2</v>
      </c>
      <c r="E99" s="125"/>
      <c r="F99" s="125"/>
      <c r="G99" s="57">
        <f t="shared" si="12"/>
        <v>3.9220913459452637E-5</v>
      </c>
      <c r="H99" s="135"/>
      <c r="I99" s="25">
        <f t="shared" si="13"/>
        <v>11045563.746286254</v>
      </c>
      <c r="K99" s="58"/>
    </row>
    <row r="100" spans="1:12" x14ac:dyDescent="0.25">
      <c r="B100" s="18" t="s">
        <v>11</v>
      </c>
      <c r="C100" s="135"/>
      <c r="D100" s="29">
        <f t="shared" si="11"/>
        <v>0.19811064892024152</v>
      </c>
      <c r="E100" s="125"/>
      <c r="F100" s="125"/>
      <c r="G100" s="57">
        <f t="shared" si="12"/>
        <v>6.1081671287987923E-6</v>
      </c>
      <c r="H100" s="135"/>
      <c r="I100" s="25">
        <f t="shared" si="13"/>
        <v>81643127.921789214</v>
      </c>
      <c r="K100" s="58"/>
    </row>
    <row r="101" spans="1:12" x14ac:dyDescent="0.25">
      <c r="B101" s="18" t="s">
        <v>12</v>
      </c>
      <c r="C101" s="135"/>
      <c r="D101" s="29">
        <f t="shared" si="11"/>
        <v>8.4761473939070353E-2</v>
      </c>
      <c r="E101" s="125"/>
      <c r="F101" s="125"/>
      <c r="G101" s="57">
        <f t="shared" si="12"/>
        <v>4.3025888959073951E-5</v>
      </c>
      <c r="H101" s="135"/>
      <c r="I101" s="25">
        <f t="shared" si="13"/>
        <v>34932254.45225437</v>
      </c>
      <c r="K101" s="58"/>
    </row>
    <row r="102" spans="1:12" x14ac:dyDescent="0.25">
      <c r="B102" s="18" t="s">
        <v>13</v>
      </c>
      <c r="C102" s="135"/>
      <c r="D102" s="29">
        <f t="shared" si="11"/>
        <v>6.9881739106088678E-2</v>
      </c>
      <c r="E102" s="125"/>
      <c r="F102" s="125"/>
      <c r="G102" s="57">
        <f t="shared" si="12"/>
        <v>4.6267868608704734E-5</v>
      </c>
      <c r="H102" s="135"/>
      <c r="I102" s="25">
        <f t="shared" si="13"/>
        <v>28800050.592952922</v>
      </c>
      <c r="K102" s="58"/>
    </row>
    <row r="103" spans="1:12" x14ac:dyDescent="0.25">
      <c r="B103" s="18" t="s">
        <v>14</v>
      </c>
      <c r="C103" s="135"/>
      <c r="D103" s="29">
        <f t="shared" si="11"/>
        <v>0.1700062009370566</v>
      </c>
      <c r="E103" s="125"/>
      <c r="F103" s="125"/>
      <c r="G103" s="57">
        <f t="shared" si="12"/>
        <v>1.7422346672619028E-5</v>
      </c>
      <c r="H103" s="135"/>
      <c r="I103" s="25">
        <f t="shared" si="13"/>
        <v>70061845.458872348</v>
      </c>
      <c r="K103" s="58"/>
    </row>
    <row r="104" spans="1:12" x14ac:dyDescent="0.25">
      <c r="B104" s="18" t="s">
        <v>15</v>
      </c>
      <c r="C104" s="135"/>
      <c r="D104" s="33"/>
      <c r="E104" s="125"/>
      <c r="F104" s="125"/>
      <c r="G104" s="59"/>
      <c r="H104" s="135"/>
      <c r="I104" s="35"/>
      <c r="K104" s="58"/>
    </row>
    <row r="105" spans="1:12" x14ac:dyDescent="0.25">
      <c r="B105" s="18" t="s">
        <v>16</v>
      </c>
      <c r="C105" s="135"/>
      <c r="D105" s="29">
        <f>+H25</f>
        <v>1.8081277307285065E-2</v>
      </c>
      <c r="E105" s="125"/>
      <c r="F105" s="125"/>
      <c r="G105" s="57">
        <f>+G54</f>
        <v>5.775121071742058E-5</v>
      </c>
      <c r="H105" s="135"/>
      <c r="I105" s="25">
        <f t="shared" si="13"/>
        <v>7451843.460465353</v>
      </c>
      <c r="K105" s="58"/>
    </row>
    <row r="106" spans="1:12" x14ac:dyDescent="0.25">
      <c r="E106" s="31"/>
      <c r="F106" s="60"/>
      <c r="I106" s="36">
        <f>SUM(I96:I105)</f>
        <v>412106170.76812142</v>
      </c>
    </row>
    <row r="107" spans="1:12" ht="15.75" thickBot="1" x14ac:dyDescent="0.3">
      <c r="E107" s="61"/>
    </row>
    <row r="108" spans="1:12" customFormat="1" ht="21.75" thickBot="1" x14ac:dyDescent="0.4">
      <c r="A108" s="1"/>
      <c r="B108" s="132" t="s">
        <v>61</v>
      </c>
      <c r="C108" s="133"/>
      <c r="D108" s="133"/>
      <c r="E108" s="133"/>
      <c r="F108" s="133"/>
      <c r="G108" s="133"/>
      <c r="H108" s="133"/>
      <c r="I108" s="133"/>
      <c r="J108" s="134"/>
      <c r="K108" s="1"/>
      <c r="L108" s="1"/>
    </row>
    <row r="111" spans="1:12" customFormat="1" x14ac:dyDescent="0.25">
      <c r="A111" s="1"/>
      <c r="B111" s="3" t="s">
        <v>3</v>
      </c>
      <c r="C111" s="3"/>
      <c r="D111" s="3"/>
      <c r="E111" s="3"/>
      <c r="F111" s="3"/>
      <c r="G111" s="3"/>
      <c r="H111" s="3"/>
      <c r="I111" s="3"/>
      <c r="J111" s="3"/>
      <c r="K111" s="1"/>
      <c r="L111" s="1"/>
    </row>
    <row r="113" spans="2:9" x14ac:dyDescent="0.25">
      <c r="B113" s="2" t="s">
        <v>62</v>
      </c>
    </row>
    <row r="115" spans="2:9" ht="18" x14ac:dyDescent="0.35">
      <c r="B115" s="21" t="s">
        <v>63</v>
      </c>
      <c r="C115" s="22">
        <v>114.23</v>
      </c>
      <c r="D115" s="1" t="s">
        <v>25</v>
      </c>
      <c r="E115" s="55" t="s">
        <v>64</v>
      </c>
    </row>
    <row r="116" spans="2:9" ht="18" x14ac:dyDescent="0.35">
      <c r="B116" s="21" t="s">
        <v>56</v>
      </c>
      <c r="C116" s="56">
        <f>+C89</f>
        <v>112.25</v>
      </c>
      <c r="D116" s="1" t="s">
        <v>28</v>
      </c>
    </row>
    <row r="117" spans="2:9" ht="18" x14ac:dyDescent="0.35">
      <c r="B117" s="21" t="s">
        <v>65</v>
      </c>
      <c r="C117" s="23">
        <f>+C115/C116-1</f>
        <v>1.7639198218262875E-2</v>
      </c>
    </row>
    <row r="119" spans="2:9" x14ac:dyDescent="0.25">
      <c r="B119" s="2" t="s">
        <v>66</v>
      </c>
    </row>
    <row r="121" spans="2:9" ht="18" x14ac:dyDescent="0.25">
      <c r="B121" s="62" t="s">
        <v>40</v>
      </c>
      <c r="C121" s="63">
        <f>SUM(I45:I54)</f>
        <v>407909275.30044734</v>
      </c>
    </row>
    <row r="122" spans="2:9" x14ac:dyDescent="0.25">
      <c r="B122" s="21" t="s">
        <v>67</v>
      </c>
      <c r="C122" s="64">
        <v>20625000</v>
      </c>
      <c r="G122" s="31"/>
    </row>
    <row r="123" spans="2:9" x14ac:dyDescent="0.25">
      <c r="B123" s="21" t="s">
        <v>68</v>
      </c>
      <c r="C123" s="26">
        <f>1-POWER((C121-C122)/C121,1/3)</f>
        <v>1.7146562185008984E-2</v>
      </c>
    </row>
    <row r="125" spans="2:9" x14ac:dyDescent="0.25">
      <c r="B125" s="2" t="s">
        <v>69</v>
      </c>
    </row>
    <row r="127" spans="2:9" ht="18" x14ac:dyDescent="0.25">
      <c r="B127" s="18"/>
      <c r="C127" s="5" t="s">
        <v>60</v>
      </c>
      <c r="D127" s="5" t="s">
        <v>70</v>
      </c>
      <c r="E127" s="5" t="s">
        <v>35</v>
      </c>
      <c r="F127" s="5" t="s">
        <v>68</v>
      </c>
      <c r="G127" s="5" t="s">
        <v>36</v>
      </c>
      <c r="H127" s="5" t="s">
        <v>38</v>
      </c>
      <c r="I127" s="5" t="s">
        <v>71</v>
      </c>
    </row>
    <row r="128" spans="2:9" x14ac:dyDescent="0.25">
      <c r="B128" s="18" t="s">
        <v>7</v>
      </c>
      <c r="C128" s="25">
        <f>+I96</f>
        <v>59934827.773802347</v>
      </c>
      <c r="D128" s="124">
        <f>+C117</f>
        <v>1.7639198218262875E-2</v>
      </c>
      <c r="E128" s="124">
        <f>+$J$39</f>
        <v>-1.9826257980977147E-2</v>
      </c>
      <c r="F128" s="124">
        <f>+$C$123</f>
        <v>1.7146562185008984E-2</v>
      </c>
      <c r="G128" s="124">
        <f>+$C$40</f>
        <v>4.0000000000000001E-3</v>
      </c>
      <c r="H128" s="65">
        <f t="shared" ref="H128:H135" si="14">+G45</f>
        <v>4.1354096962781971E-5</v>
      </c>
      <c r="I128" s="25">
        <f>+C128*(1+$D$128-$E$128-$F$128-$G$128+H128)</f>
        <v>60915376.426683433</v>
      </c>
    </row>
    <row r="129" spans="2:12" x14ac:dyDescent="0.25">
      <c r="B129" s="18" t="s">
        <v>8</v>
      </c>
      <c r="C129" s="25">
        <f t="shared" ref="C129:C137" si="15">+I97</f>
        <v>69840449.401580364</v>
      </c>
      <c r="D129" s="125"/>
      <c r="E129" s="125"/>
      <c r="F129" s="125"/>
      <c r="G129" s="125"/>
      <c r="H129" s="65">
        <f t="shared" si="14"/>
        <v>5.6018800789664862E-5</v>
      </c>
      <c r="I129" s="25">
        <f t="shared" ref="I129:I137" si="16">+C129*(1+$D$128-$E$128-$F$128-$G$128+H129)</f>
        <v>70984080.671493113</v>
      </c>
    </row>
    <row r="130" spans="2:12" x14ac:dyDescent="0.25">
      <c r="B130" s="18" t="s">
        <v>9</v>
      </c>
      <c r="C130" s="25">
        <f t="shared" si="15"/>
        <v>48396207.960118301</v>
      </c>
      <c r="D130" s="125"/>
      <c r="E130" s="125"/>
      <c r="F130" s="125"/>
      <c r="G130" s="125"/>
      <c r="H130" s="65">
        <f t="shared" si="14"/>
        <v>-2.4394248044410462E-4</v>
      </c>
      <c r="I130" s="25">
        <f t="shared" si="16"/>
        <v>49174174.657496281</v>
      </c>
    </row>
    <row r="131" spans="2:12" x14ac:dyDescent="0.25">
      <c r="B131" s="18" t="s">
        <v>10</v>
      </c>
      <c r="C131" s="25">
        <f t="shared" si="15"/>
        <v>11045563.746286254</v>
      </c>
      <c r="D131" s="125"/>
      <c r="E131" s="125"/>
      <c r="F131" s="125"/>
      <c r="G131" s="125"/>
      <c r="H131" s="65">
        <f t="shared" si="14"/>
        <v>3.9220913459452637E-5</v>
      </c>
      <c r="I131" s="25">
        <f t="shared" si="16"/>
        <v>11226248.347489137</v>
      </c>
    </row>
    <row r="132" spans="2:12" x14ac:dyDescent="0.25">
      <c r="B132" s="18" t="s">
        <v>11</v>
      </c>
      <c r="C132" s="25">
        <f t="shared" si="15"/>
        <v>81643127.921789214</v>
      </c>
      <c r="D132" s="125"/>
      <c r="E132" s="125"/>
      <c r="F132" s="125"/>
      <c r="G132" s="125"/>
      <c r="H132" s="65">
        <f t="shared" si="14"/>
        <v>6.1081671287987923E-6</v>
      </c>
      <c r="I132" s="25">
        <f t="shared" si="16"/>
        <v>82975952.163205475</v>
      </c>
    </row>
    <row r="133" spans="2:12" x14ac:dyDescent="0.25">
      <c r="B133" s="18" t="s">
        <v>12</v>
      </c>
      <c r="C133" s="25">
        <f t="shared" si="15"/>
        <v>34932254.45225437</v>
      </c>
      <c r="D133" s="125"/>
      <c r="E133" s="125"/>
      <c r="F133" s="125"/>
      <c r="G133" s="125"/>
      <c r="H133" s="65">
        <f t="shared" si="14"/>
        <v>4.3025888959073951E-5</v>
      </c>
      <c r="I133" s="25">
        <f t="shared" si="16"/>
        <v>35503813.20164001</v>
      </c>
    </row>
    <row r="134" spans="2:12" x14ac:dyDescent="0.25">
      <c r="B134" s="18" t="s">
        <v>13</v>
      </c>
      <c r="C134" s="25">
        <f t="shared" si="15"/>
        <v>28800050.592952922</v>
      </c>
      <c r="D134" s="125"/>
      <c r="E134" s="125"/>
      <c r="F134" s="125"/>
      <c r="G134" s="125"/>
      <c r="H134" s="65">
        <f t="shared" si="14"/>
        <v>4.6267868608704734E-5</v>
      </c>
      <c r="I134" s="25">
        <f t="shared" si="16"/>
        <v>29271368.083140571</v>
      </c>
    </row>
    <row r="135" spans="2:12" x14ac:dyDescent="0.25">
      <c r="B135" s="18" t="s">
        <v>14</v>
      </c>
      <c r="C135" s="25">
        <f t="shared" si="15"/>
        <v>70061845.458872348</v>
      </c>
      <c r="D135" s="125"/>
      <c r="E135" s="125"/>
      <c r="F135" s="125"/>
      <c r="G135" s="125"/>
      <c r="H135" s="65">
        <f t="shared" si="14"/>
        <v>1.7422346672619028E-5</v>
      </c>
      <c r="I135" s="25">
        <f t="shared" si="16"/>
        <v>71206397.931117237</v>
      </c>
    </row>
    <row r="136" spans="2:12" x14ac:dyDescent="0.25">
      <c r="B136" s="18" t="s">
        <v>15</v>
      </c>
      <c r="C136" s="35"/>
      <c r="D136" s="125"/>
      <c r="E136" s="125"/>
      <c r="F136" s="125"/>
      <c r="G136" s="125"/>
      <c r="H136" s="66"/>
      <c r="I136" s="35"/>
    </row>
    <row r="137" spans="2:12" x14ac:dyDescent="0.25">
      <c r="B137" s="18" t="s">
        <v>16</v>
      </c>
      <c r="C137" s="25">
        <f t="shared" si="15"/>
        <v>7451843.460465353</v>
      </c>
      <c r="D137" s="125"/>
      <c r="E137" s="125"/>
      <c r="F137" s="125"/>
      <c r="G137" s="125"/>
      <c r="H137" s="65">
        <f>+G54</f>
        <v>5.775121071742058E-5</v>
      </c>
      <c r="I137" s="25">
        <f t="shared" si="16"/>
        <v>7573879.6570892464</v>
      </c>
    </row>
    <row r="138" spans="2:12" x14ac:dyDescent="0.25">
      <c r="I138" s="67">
        <f>SUM(I128:I137)</f>
        <v>418831291.13935447</v>
      </c>
    </row>
    <row r="139" spans="2:12" x14ac:dyDescent="0.25">
      <c r="B139" s="2" t="s">
        <v>72</v>
      </c>
    </row>
    <row r="141" spans="2:12" ht="18" x14ac:dyDescent="0.25">
      <c r="B141" s="18"/>
      <c r="C141" s="5" t="s">
        <v>73</v>
      </c>
      <c r="D141" s="5" t="s">
        <v>74</v>
      </c>
      <c r="E141" s="5" t="s">
        <v>75</v>
      </c>
      <c r="F141" s="5" t="s">
        <v>76</v>
      </c>
      <c r="G141" s="5" t="s">
        <v>77</v>
      </c>
      <c r="H141" s="5" t="s">
        <v>78</v>
      </c>
      <c r="I141" s="5" t="s">
        <v>79</v>
      </c>
      <c r="J141" s="5" t="s">
        <v>80</v>
      </c>
      <c r="K141" s="39" t="s">
        <v>81</v>
      </c>
      <c r="L141" s="5" t="s">
        <v>51</v>
      </c>
    </row>
    <row r="142" spans="2:12" x14ac:dyDescent="0.25">
      <c r="B142" s="18" t="s">
        <v>7</v>
      </c>
      <c r="C142" s="40">
        <v>1163567.7966666666</v>
      </c>
      <c r="D142" s="40">
        <v>0</v>
      </c>
      <c r="E142" s="40">
        <v>31955.80376863743</v>
      </c>
      <c r="F142" s="19">
        <f t="shared" ref="F142:F149" si="17">+C142+D142+E142</f>
        <v>1195523.600435304</v>
      </c>
      <c r="G142" s="40">
        <v>7175921.2189287487</v>
      </c>
      <c r="H142" s="40">
        <v>0</v>
      </c>
      <c r="I142" s="40">
        <v>0</v>
      </c>
      <c r="J142" s="19">
        <f>+H142+I142</f>
        <v>0</v>
      </c>
      <c r="K142" s="19">
        <v>0</v>
      </c>
      <c r="L142" s="19">
        <f>+F142+G142+J142+K142</f>
        <v>8371444.8193640523</v>
      </c>
    </row>
    <row r="143" spans="2:12" x14ac:dyDescent="0.25">
      <c r="B143" s="18" t="s">
        <v>8</v>
      </c>
      <c r="C143" s="40">
        <v>1117653.4821333336</v>
      </c>
      <c r="D143" s="40">
        <v>0</v>
      </c>
      <c r="E143" s="40">
        <v>21012.508916516501</v>
      </c>
      <c r="F143" s="19">
        <f t="shared" si="17"/>
        <v>1138665.9910498501</v>
      </c>
      <c r="G143" s="40">
        <v>6886119.8046800811</v>
      </c>
      <c r="H143" s="40">
        <v>0</v>
      </c>
      <c r="I143" s="40">
        <v>0</v>
      </c>
      <c r="J143" s="19">
        <f t="shared" ref="J143:J151" si="18">+H143+I143</f>
        <v>0</v>
      </c>
      <c r="K143" s="19">
        <v>0</v>
      </c>
      <c r="L143" s="19">
        <f t="shared" ref="L143:L151" si="19">+F143+G143+J143+K143</f>
        <v>8024785.7957299314</v>
      </c>
    </row>
    <row r="144" spans="2:12" x14ac:dyDescent="0.25">
      <c r="B144" s="18" t="s">
        <v>9</v>
      </c>
      <c r="C144" s="40">
        <v>601075.17073333322</v>
      </c>
      <c r="D144" s="40">
        <v>0</v>
      </c>
      <c r="E144" s="40">
        <v>43892.443333333329</v>
      </c>
      <c r="F144" s="19">
        <f t="shared" si="17"/>
        <v>644967.61406666657</v>
      </c>
      <c r="G144" s="40">
        <v>3524935.0083453404</v>
      </c>
      <c r="H144" s="40">
        <v>0</v>
      </c>
      <c r="I144" s="40">
        <v>0</v>
      </c>
      <c r="J144" s="19">
        <f t="shared" si="18"/>
        <v>0</v>
      </c>
      <c r="K144" s="19">
        <v>0</v>
      </c>
      <c r="L144" s="19">
        <f t="shared" si="19"/>
        <v>4169902.6224120068</v>
      </c>
    </row>
    <row r="145" spans="2:12" x14ac:dyDescent="0.25">
      <c r="B145" s="18" t="s">
        <v>10</v>
      </c>
      <c r="C145" s="40">
        <v>234307.3165333333</v>
      </c>
      <c r="D145" s="40">
        <v>0</v>
      </c>
      <c r="E145" s="40">
        <v>5810.1500000000005</v>
      </c>
      <c r="F145" s="19">
        <f t="shared" si="17"/>
        <v>240117.4665333333</v>
      </c>
      <c r="G145" s="40">
        <v>1425763.17981112</v>
      </c>
      <c r="H145" s="40">
        <v>0</v>
      </c>
      <c r="I145" s="40">
        <v>0</v>
      </c>
      <c r="J145" s="19">
        <f t="shared" si="18"/>
        <v>0</v>
      </c>
      <c r="K145" s="19">
        <v>0</v>
      </c>
      <c r="L145" s="19">
        <f t="shared" si="19"/>
        <v>1665880.6463444533</v>
      </c>
    </row>
    <row r="146" spans="2:12" x14ac:dyDescent="0.25">
      <c r="B146" s="18" t="s">
        <v>11</v>
      </c>
      <c r="C146" s="40">
        <v>1091011.3166666662</v>
      </c>
      <c r="D146" s="40">
        <v>0</v>
      </c>
      <c r="E146" s="40">
        <v>32595.892898029237</v>
      </c>
      <c r="F146" s="19">
        <f t="shared" si="17"/>
        <v>1123607.2095646954</v>
      </c>
      <c r="G146" s="40">
        <v>6728556.0369252497</v>
      </c>
      <c r="H146" s="40">
        <v>0</v>
      </c>
      <c r="I146" s="40">
        <v>0</v>
      </c>
      <c r="J146" s="19">
        <f t="shared" si="18"/>
        <v>0</v>
      </c>
      <c r="K146" s="19">
        <v>0</v>
      </c>
      <c r="L146" s="19">
        <f t="shared" si="19"/>
        <v>7852163.2464899449</v>
      </c>
    </row>
    <row r="147" spans="2:12" x14ac:dyDescent="0.25">
      <c r="B147" s="18" t="s">
        <v>12</v>
      </c>
      <c r="C147" s="40">
        <v>644652.74333333329</v>
      </c>
      <c r="D147" s="40">
        <v>0</v>
      </c>
      <c r="E147" s="40">
        <v>19910.433333333334</v>
      </c>
      <c r="F147" s="19">
        <f t="shared" si="17"/>
        <v>664563.17666666664</v>
      </c>
      <c r="G147" s="40">
        <v>3975637.8532389998</v>
      </c>
      <c r="H147" s="40">
        <v>0</v>
      </c>
      <c r="I147" s="40">
        <v>0</v>
      </c>
      <c r="J147" s="19">
        <f t="shared" si="18"/>
        <v>0</v>
      </c>
      <c r="K147" s="19">
        <v>0</v>
      </c>
      <c r="L147" s="19">
        <f t="shared" si="19"/>
        <v>4640201.0299056666</v>
      </c>
    </row>
    <row r="148" spans="2:12" x14ac:dyDescent="0.25">
      <c r="B148" s="18" t="s">
        <v>13</v>
      </c>
      <c r="C148" s="40">
        <v>439064.0799999999</v>
      </c>
      <c r="D148" s="40">
        <v>0</v>
      </c>
      <c r="E148" s="40">
        <v>21352.042949423001</v>
      </c>
      <c r="F148" s="19">
        <f t="shared" si="17"/>
        <v>460416.12294942292</v>
      </c>
      <c r="G148" s="40">
        <v>2707752.0791999996</v>
      </c>
      <c r="H148" s="40">
        <v>0</v>
      </c>
      <c r="I148" s="40">
        <v>0</v>
      </c>
      <c r="J148" s="19">
        <f t="shared" si="18"/>
        <v>0</v>
      </c>
      <c r="K148" s="19">
        <v>0</v>
      </c>
      <c r="L148" s="19">
        <f t="shared" si="19"/>
        <v>3168168.2021494224</v>
      </c>
    </row>
    <row r="149" spans="2:12" x14ac:dyDescent="0.25">
      <c r="B149" s="18" t="s">
        <v>14</v>
      </c>
      <c r="C149" s="40">
        <v>1002071.9500000002</v>
      </c>
      <c r="D149" s="40">
        <v>0</v>
      </c>
      <c r="E149" s="40">
        <v>34525.71</v>
      </c>
      <c r="F149" s="19">
        <f t="shared" si="17"/>
        <v>1036597.6600000001</v>
      </c>
      <c r="G149" s="40">
        <v>6179877.8784750011</v>
      </c>
      <c r="H149" s="40">
        <v>0</v>
      </c>
      <c r="I149" s="40">
        <v>0</v>
      </c>
      <c r="J149" s="19">
        <f t="shared" si="18"/>
        <v>0</v>
      </c>
      <c r="K149" s="19">
        <v>0</v>
      </c>
      <c r="L149" s="19">
        <f t="shared" si="19"/>
        <v>7216475.5384750012</v>
      </c>
    </row>
    <row r="150" spans="2:12" x14ac:dyDescent="0.25">
      <c r="B150" s="18" t="s">
        <v>15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2:12" x14ac:dyDescent="0.25">
      <c r="B151" s="18" t="s">
        <v>16</v>
      </c>
      <c r="C151" s="40">
        <v>194566.78333333333</v>
      </c>
      <c r="D151" s="40">
        <v>0</v>
      </c>
      <c r="E151" s="40">
        <v>3251.5933333333337</v>
      </c>
      <c r="F151" s="19">
        <f t="shared" ref="F151" si="20">+C151+D151+E151</f>
        <v>197818.37666666665</v>
      </c>
      <c r="G151" s="40">
        <v>1199912.7541089999</v>
      </c>
      <c r="H151" s="40">
        <v>0</v>
      </c>
      <c r="I151" s="40">
        <v>0</v>
      </c>
      <c r="J151" s="19">
        <f t="shared" si="18"/>
        <v>0</v>
      </c>
      <c r="K151" s="19">
        <v>0</v>
      </c>
      <c r="L151" s="19">
        <f t="shared" si="19"/>
        <v>1397731.1307756666</v>
      </c>
    </row>
    <row r="152" spans="2:12" x14ac:dyDescent="0.25">
      <c r="C152" s="38"/>
      <c r="E152" s="20"/>
      <c r="F152" s="83">
        <f t="shared" ref="F152:G152" si="21">SUM(F142:F151)</f>
        <v>6702277.2179326061</v>
      </c>
      <c r="G152" s="83">
        <f t="shared" si="21"/>
        <v>39804475.813713543</v>
      </c>
    </row>
    <row r="153" spans="2:12" x14ac:dyDescent="0.25">
      <c r="B153" s="2" t="s">
        <v>82</v>
      </c>
    </row>
    <row r="154" spans="2:12" ht="15.75" thickBot="1" x14ac:dyDescent="0.3"/>
    <row r="155" spans="2:12" ht="18.75" thickBot="1" x14ac:dyDescent="0.3">
      <c r="B155" s="43"/>
      <c r="C155" s="5" t="s">
        <v>71</v>
      </c>
      <c r="D155" s="5" t="str">
        <f t="shared" ref="D155:D163" si="22">+L141</f>
        <v>Totaal aanvullend</v>
      </c>
      <c r="E155" s="44" t="s">
        <v>83</v>
      </c>
      <c r="G155" s="45"/>
      <c r="H155" s="45"/>
    </row>
    <row r="156" spans="2:12" x14ac:dyDescent="0.25">
      <c r="B156" s="6" t="s">
        <v>7</v>
      </c>
      <c r="C156" s="68">
        <f>+I128</f>
        <v>60915376.426683433</v>
      </c>
      <c r="D156" s="47">
        <f t="shared" si="22"/>
        <v>8371444.8193640523</v>
      </c>
      <c r="E156" s="48">
        <f>+D156+C156</f>
        <v>69286821.246047482</v>
      </c>
      <c r="G156" s="69"/>
      <c r="H156" s="69"/>
    </row>
    <row r="157" spans="2:12" x14ac:dyDescent="0.25">
      <c r="B157" s="9" t="s">
        <v>8</v>
      </c>
      <c r="C157" s="68">
        <f t="shared" ref="C157:C165" si="23">+I129</f>
        <v>70984080.671493113</v>
      </c>
      <c r="D157" s="47">
        <f t="shared" si="22"/>
        <v>8024785.7957299314</v>
      </c>
      <c r="E157" s="50">
        <f t="shared" ref="E157:E165" si="24">+D157+C157</f>
        <v>79008866.467223048</v>
      </c>
      <c r="G157" s="69"/>
      <c r="H157" s="69"/>
    </row>
    <row r="158" spans="2:12" x14ac:dyDescent="0.25">
      <c r="B158" s="9" t="s">
        <v>9</v>
      </c>
      <c r="C158" s="68">
        <f t="shared" si="23"/>
        <v>49174174.657496281</v>
      </c>
      <c r="D158" s="47">
        <f t="shared" si="22"/>
        <v>4169902.6224120068</v>
      </c>
      <c r="E158" s="50">
        <f t="shared" si="24"/>
        <v>53344077.279908285</v>
      </c>
      <c r="G158" s="69"/>
      <c r="H158" s="69"/>
    </row>
    <row r="159" spans="2:12" x14ac:dyDescent="0.25">
      <c r="B159" s="9" t="s">
        <v>10</v>
      </c>
      <c r="C159" s="68">
        <f t="shared" si="23"/>
        <v>11226248.347489137</v>
      </c>
      <c r="D159" s="47">
        <f t="shared" si="22"/>
        <v>1665880.6463444533</v>
      </c>
      <c r="E159" s="50">
        <f t="shared" si="24"/>
        <v>12892128.99383359</v>
      </c>
      <c r="G159" s="69"/>
      <c r="H159" s="69"/>
    </row>
    <row r="160" spans="2:12" x14ac:dyDescent="0.25">
      <c r="B160" s="9" t="s">
        <v>11</v>
      </c>
      <c r="C160" s="68">
        <f t="shared" si="23"/>
        <v>82975952.163205475</v>
      </c>
      <c r="D160" s="47">
        <f t="shared" si="22"/>
        <v>7852163.2464899449</v>
      </c>
      <c r="E160" s="50">
        <f t="shared" si="24"/>
        <v>90828115.409695417</v>
      </c>
      <c r="G160" s="69"/>
      <c r="H160" s="69"/>
    </row>
    <row r="161" spans="1:12" x14ac:dyDescent="0.25">
      <c r="B161" s="9" t="s">
        <v>12</v>
      </c>
      <c r="C161" s="68">
        <f t="shared" si="23"/>
        <v>35503813.20164001</v>
      </c>
      <c r="D161" s="47">
        <f t="shared" si="22"/>
        <v>4640201.0299056666</v>
      </c>
      <c r="E161" s="50">
        <f t="shared" si="24"/>
        <v>40144014.231545679</v>
      </c>
      <c r="G161" s="69"/>
      <c r="H161" s="69"/>
    </row>
    <row r="162" spans="1:12" x14ac:dyDescent="0.25">
      <c r="B162" s="9" t="s">
        <v>13</v>
      </c>
      <c r="C162" s="68">
        <f t="shared" si="23"/>
        <v>29271368.083140571</v>
      </c>
      <c r="D162" s="47">
        <f t="shared" si="22"/>
        <v>3168168.2021494224</v>
      </c>
      <c r="E162" s="50">
        <f t="shared" si="24"/>
        <v>32439536.285289992</v>
      </c>
      <c r="G162" s="69"/>
      <c r="H162" s="69"/>
    </row>
    <row r="163" spans="1:12" x14ac:dyDescent="0.25">
      <c r="B163" s="9" t="s">
        <v>14</v>
      </c>
      <c r="C163" s="68">
        <f t="shared" si="23"/>
        <v>71206397.931117237</v>
      </c>
      <c r="D163" s="47">
        <f t="shared" si="22"/>
        <v>7216475.5384750012</v>
      </c>
      <c r="E163" s="50">
        <f t="shared" si="24"/>
        <v>78422873.469592243</v>
      </c>
      <c r="G163" s="69"/>
      <c r="H163" s="69"/>
    </row>
    <row r="164" spans="1:12" x14ac:dyDescent="0.25">
      <c r="B164" s="9" t="s">
        <v>15</v>
      </c>
      <c r="C164" s="70"/>
      <c r="D164" s="71"/>
      <c r="E164" s="72"/>
      <c r="G164" s="69"/>
      <c r="H164" s="69"/>
    </row>
    <row r="165" spans="1:12" ht="15.75" thickBot="1" x14ac:dyDescent="0.3">
      <c r="B165" s="12" t="s">
        <v>16</v>
      </c>
      <c r="C165" s="68">
        <f t="shared" si="23"/>
        <v>7573879.6570892464</v>
      </c>
      <c r="D165" s="47">
        <f>+L151</f>
        <v>1397731.1307756666</v>
      </c>
      <c r="E165" s="54">
        <f t="shared" si="24"/>
        <v>8971610.7878649123</v>
      </c>
      <c r="G165" s="69"/>
      <c r="H165" s="69"/>
    </row>
    <row r="166" spans="1:12" x14ac:dyDescent="0.25">
      <c r="C166" s="36">
        <f>SUM(C156:C165)</f>
        <v>418831291.13935447</v>
      </c>
      <c r="D166" s="36">
        <f>SUM(D156:D165)</f>
        <v>46506753.031646147</v>
      </c>
      <c r="E166" s="36">
        <f>SUM(E156:E165)</f>
        <v>465338044.17100072</v>
      </c>
      <c r="G166" s="73"/>
      <c r="H166" s="73"/>
      <c r="I166" s="2"/>
      <c r="J166" s="31"/>
    </row>
    <row r="167" spans="1:12" x14ac:dyDescent="0.25">
      <c r="E167" s="38"/>
    </row>
    <row r="168" spans="1:12" customFormat="1" x14ac:dyDescent="0.25">
      <c r="A168" s="1"/>
      <c r="B168" s="3" t="s">
        <v>84</v>
      </c>
      <c r="C168" s="3"/>
      <c r="D168" s="3"/>
      <c r="E168" s="3"/>
      <c r="F168" s="3"/>
      <c r="G168" s="3"/>
      <c r="H168" s="3"/>
      <c r="I168" s="3"/>
      <c r="J168" s="3"/>
      <c r="K168" s="1"/>
      <c r="L168" s="1"/>
    </row>
    <row r="170" spans="1:12" x14ac:dyDescent="0.25">
      <c r="B170" s="2" t="s">
        <v>55</v>
      </c>
    </row>
    <row r="172" spans="1:12" ht="18" x14ac:dyDescent="0.35">
      <c r="B172" s="21" t="s">
        <v>85</v>
      </c>
      <c r="C172" s="22">
        <v>123.05</v>
      </c>
      <c r="D172" s="1" t="s">
        <v>28</v>
      </c>
    </row>
    <row r="173" spans="1:12" ht="18" x14ac:dyDescent="0.35">
      <c r="B173" s="21" t="s">
        <v>56</v>
      </c>
      <c r="C173" s="56">
        <f>+C116</f>
        <v>112.25</v>
      </c>
      <c r="D173" s="1" t="s">
        <v>28</v>
      </c>
    </row>
    <row r="174" spans="1:12" ht="18" x14ac:dyDescent="0.35">
      <c r="B174" s="21" t="s">
        <v>86</v>
      </c>
      <c r="C174" s="23">
        <f>+C172/C173-1</f>
        <v>9.621380846325156E-2</v>
      </c>
      <c r="D174" s="61"/>
    </row>
    <row r="176" spans="1:12" x14ac:dyDescent="0.25">
      <c r="B176" s="2" t="s">
        <v>87</v>
      </c>
    </row>
    <row r="178" spans="1:12" ht="18" x14ac:dyDescent="0.25">
      <c r="B178" s="18"/>
      <c r="C178" s="5" t="s">
        <v>60</v>
      </c>
      <c r="D178" s="5" t="s">
        <v>88</v>
      </c>
      <c r="E178" s="5" t="s">
        <v>35</v>
      </c>
      <c r="F178" s="5" t="s">
        <v>68</v>
      </c>
      <c r="G178" s="5" t="s">
        <v>36</v>
      </c>
      <c r="H178" s="5" t="s">
        <v>38</v>
      </c>
      <c r="I178" s="5" t="s">
        <v>89</v>
      </c>
    </row>
    <row r="179" spans="1:12" x14ac:dyDescent="0.25">
      <c r="B179" s="18" t="s">
        <v>7</v>
      </c>
      <c r="C179" s="25">
        <f>+I96</f>
        <v>59934827.773802347</v>
      </c>
      <c r="D179" s="124">
        <f>+C174</f>
        <v>9.621380846325156E-2</v>
      </c>
      <c r="E179" s="124">
        <f>+$J$39</f>
        <v>-1.9826257980977147E-2</v>
      </c>
      <c r="F179" s="124">
        <f>+$C$123</f>
        <v>1.7146562185008984E-2</v>
      </c>
      <c r="G179" s="124">
        <f>+$C$40</f>
        <v>4.0000000000000001E-3</v>
      </c>
      <c r="H179" s="65">
        <f>+G45</f>
        <v>4.1354096962781971E-5</v>
      </c>
      <c r="I179" s="25">
        <f>+C179*(1+$D$179-$E$179-$F$179-$G$179+H179)</f>
        <v>65624732.159110464</v>
      </c>
    </row>
    <row r="180" spans="1:12" x14ac:dyDescent="0.25">
      <c r="B180" s="18" t="s">
        <v>8</v>
      </c>
      <c r="C180" s="25">
        <f t="shared" ref="C180:C188" si="25">+I97</f>
        <v>69840449.401580364</v>
      </c>
      <c r="D180" s="125"/>
      <c r="E180" s="125"/>
      <c r="F180" s="125"/>
      <c r="G180" s="125"/>
      <c r="H180" s="65">
        <f t="shared" ref="H180:H188" si="26">+G46</f>
        <v>5.6018800789664862E-5</v>
      </c>
      <c r="I180" s="25">
        <f t="shared" ref="I180:I188" si="27">+C180*(1+$D$179-$E$179-$F$179-$G$179+H180)</f>
        <v>76471766.762557134</v>
      </c>
    </row>
    <row r="181" spans="1:12" x14ac:dyDescent="0.25">
      <c r="B181" s="18" t="s">
        <v>9</v>
      </c>
      <c r="C181" s="25">
        <f t="shared" si="25"/>
        <v>48396207.960118301</v>
      </c>
      <c r="D181" s="125"/>
      <c r="E181" s="125"/>
      <c r="F181" s="125"/>
      <c r="G181" s="125"/>
      <c r="H181" s="65">
        <f t="shared" si="26"/>
        <v>-2.4394248044410462E-4</v>
      </c>
      <c r="I181" s="25">
        <f t="shared" si="27"/>
        <v>52976887.835297987</v>
      </c>
    </row>
    <row r="182" spans="1:12" x14ac:dyDescent="0.25">
      <c r="B182" s="18" t="s">
        <v>10</v>
      </c>
      <c r="C182" s="25">
        <f t="shared" si="25"/>
        <v>11045563.746286254</v>
      </c>
      <c r="D182" s="125"/>
      <c r="E182" s="125"/>
      <c r="F182" s="125"/>
      <c r="G182" s="125"/>
      <c r="H182" s="65">
        <f t="shared" si="26"/>
        <v>3.9220913459452637E-5</v>
      </c>
      <c r="I182" s="25">
        <f t="shared" si="27"/>
        <v>12094149.213789754</v>
      </c>
    </row>
    <row r="183" spans="1:12" x14ac:dyDescent="0.25">
      <c r="B183" s="18" t="s">
        <v>11</v>
      </c>
      <c r="C183" s="25">
        <f t="shared" si="25"/>
        <v>81643127.921789214</v>
      </c>
      <c r="D183" s="125"/>
      <c r="E183" s="125"/>
      <c r="F183" s="125"/>
      <c r="G183" s="125"/>
      <c r="H183" s="65">
        <f t="shared" si="26"/>
        <v>6.1081671287987923E-6</v>
      </c>
      <c r="I183" s="25">
        <f t="shared" si="27"/>
        <v>89391029.118841797</v>
      </c>
    </row>
    <row r="184" spans="1:12" x14ac:dyDescent="0.25">
      <c r="B184" s="18" t="s">
        <v>12</v>
      </c>
      <c r="C184" s="25">
        <f t="shared" si="25"/>
        <v>34932254.45225437</v>
      </c>
      <c r="D184" s="125"/>
      <c r="E184" s="125"/>
      <c r="F184" s="125"/>
      <c r="G184" s="125"/>
      <c r="H184" s="65">
        <f t="shared" si="26"/>
        <v>4.3025888959073951E-5</v>
      </c>
      <c r="I184" s="25">
        <f t="shared" si="27"/>
        <v>38248601.480204664</v>
      </c>
    </row>
    <row r="185" spans="1:12" x14ac:dyDescent="0.25">
      <c r="B185" s="18" t="s">
        <v>13</v>
      </c>
      <c r="C185" s="25">
        <f t="shared" si="25"/>
        <v>28800050.592952922</v>
      </c>
      <c r="D185" s="125"/>
      <c r="E185" s="125"/>
      <c r="F185" s="125"/>
      <c r="G185" s="125"/>
      <c r="H185" s="65">
        <f t="shared" si="26"/>
        <v>4.6267868608704734E-5</v>
      </c>
      <c r="I185" s="25">
        <f t="shared" si="27"/>
        <v>31534320.833517797</v>
      </c>
    </row>
    <row r="186" spans="1:12" x14ac:dyDescent="0.25">
      <c r="B186" s="18" t="s">
        <v>14</v>
      </c>
      <c r="C186" s="25">
        <f t="shared" si="25"/>
        <v>70061845.458872348</v>
      </c>
      <c r="D186" s="125"/>
      <c r="E186" s="125"/>
      <c r="F186" s="125"/>
      <c r="G186" s="125"/>
      <c r="H186" s="65">
        <f t="shared" si="26"/>
        <v>1.7422346672619028E-5</v>
      </c>
      <c r="I186" s="25">
        <f t="shared" si="27"/>
        <v>76711480.131092742</v>
      </c>
    </row>
    <row r="187" spans="1:12" x14ac:dyDescent="0.25">
      <c r="B187" s="18" t="s">
        <v>15</v>
      </c>
      <c r="C187" s="74"/>
      <c r="D187" s="125"/>
      <c r="E187" s="125"/>
      <c r="F187" s="125"/>
      <c r="G187" s="125"/>
      <c r="H187" s="75"/>
      <c r="I187" s="74"/>
    </row>
    <row r="188" spans="1:12" x14ac:dyDescent="0.25">
      <c r="B188" s="18" t="s">
        <v>16</v>
      </c>
      <c r="C188" s="25">
        <f t="shared" si="25"/>
        <v>7451843.460465353</v>
      </c>
      <c r="D188" s="125"/>
      <c r="E188" s="125"/>
      <c r="F188" s="125"/>
      <c r="G188" s="125"/>
      <c r="H188" s="65">
        <f t="shared" si="26"/>
        <v>5.775121071742058E-5</v>
      </c>
      <c r="I188" s="25">
        <f t="shared" si="27"/>
        <v>8159405.352601978</v>
      </c>
    </row>
    <row r="189" spans="1:12" x14ac:dyDescent="0.25">
      <c r="C189" s="76"/>
      <c r="D189" s="77"/>
      <c r="E189" s="77"/>
      <c r="F189" s="77"/>
      <c r="G189" s="77"/>
      <c r="H189" s="78"/>
      <c r="I189" s="36">
        <f>SUM(I179:I188)</f>
        <v>451212372.88701427</v>
      </c>
    </row>
    <row r="190" spans="1:12" ht="15.75" thickBot="1" x14ac:dyDescent="0.3"/>
    <row r="191" spans="1:12" customFormat="1" ht="21.75" thickBot="1" x14ac:dyDescent="0.4">
      <c r="A191" s="1"/>
      <c r="B191" s="132" t="s">
        <v>90</v>
      </c>
      <c r="C191" s="133"/>
      <c r="D191" s="133"/>
      <c r="E191" s="133"/>
      <c r="F191" s="133"/>
      <c r="G191" s="133"/>
      <c r="H191" s="133"/>
      <c r="I191" s="133"/>
      <c r="J191" s="134"/>
      <c r="K191" s="1"/>
      <c r="L191" s="1"/>
    </row>
    <row r="194" spans="1:12" customFormat="1" x14ac:dyDescent="0.25">
      <c r="A194" s="1"/>
      <c r="B194" s="3" t="s">
        <v>3</v>
      </c>
      <c r="C194" s="3"/>
      <c r="D194" s="3"/>
      <c r="E194" s="3"/>
      <c r="F194" s="3"/>
      <c r="G194" s="3"/>
      <c r="H194" s="3"/>
      <c r="I194" s="3"/>
      <c r="J194" s="3"/>
      <c r="K194" s="1"/>
      <c r="L194" s="1"/>
    </row>
    <row r="196" spans="1:12" x14ac:dyDescent="0.25">
      <c r="B196" s="2" t="s">
        <v>91</v>
      </c>
    </row>
    <row r="198" spans="1:12" ht="18" x14ac:dyDescent="0.35">
      <c r="B198" s="21" t="s">
        <v>92</v>
      </c>
      <c r="C198" s="22">
        <v>131.38999999999999</v>
      </c>
      <c r="D198" s="1" t="s">
        <v>25</v>
      </c>
    </row>
    <row r="199" spans="1:12" ht="18" x14ac:dyDescent="0.35">
      <c r="B199" s="21" t="s">
        <v>85</v>
      </c>
      <c r="C199" s="56">
        <f>+C172</f>
        <v>123.05</v>
      </c>
      <c r="D199" s="1" t="s">
        <v>28</v>
      </c>
    </row>
    <row r="200" spans="1:12" ht="18" x14ac:dyDescent="0.35">
      <c r="B200" s="21" t="s">
        <v>93</v>
      </c>
      <c r="C200" s="23">
        <f>+C198/C199-1</f>
        <v>6.7777326290125783E-2</v>
      </c>
      <c r="E200" s="61"/>
    </row>
    <row r="202" spans="1:12" x14ac:dyDescent="0.25">
      <c r="B202" s="2" t="s">
        <v>94</v>
      </c>
    </row>
    <row r="204" spans="1:12" ht="18" x14ac:dyDescent="0.25">
      <c r="B204" s="18"/>
      <c r="C204" s="5" t="s">
        <v>89</v>
      </c>
      <c r="D204" s="5" t="s">
        <v>95</v>
      </c>
      <c r="E204" s="5" t="s">
        <v>35</v>
      </c>
      <c r="F204" s="5" t="s">
        <v>68</v>
      </c>
      <c r="G204" s="5" t="s">
        <v>36</v>
      </c>
      <c r="H204" s="5" t="s">
        <v>38</v>
      </c>
      <c r="I204" s="5" t="s">
        <v>96</v>
      </c>
    </row>
    <row r="205" spans="1:12" x14ac:dyDescent="0.25">
      <c r="B205" s="18" t="s">
        <v>7</v>
      </c>
      <c r="C205" s="25">
        <f>+I179</f>
        <v>65624732.159110464</v>
      </c>
      <c r="D205" s="124">
        <f>+C200</f>
        <v>6.7777326290125783E-2</v>
      </c>
      <c r="E205" s="124">
        <f>+$J$39</f>
        <v>-1.9826257980977147E-2</v>
      </c>
      <c r="F205" s="124">
        <f>+$C$123</f>
        <v>1.7146562185008984E-2</v>
      </c>
      <c r="G205" s="124">
        <f>+$C$40</f>
        <v>4.0000000000000001E-3</v>
      </c>
      <c r="H205" s="65">
        <f>+G45</f>
        <v>4.1354096962781971E-5</v>
      </c>
      <c r="I205" s="25">
        <f>+C205*(1+$D$205-$E$205-$F$205-$G$205+H205)</f>
        <v>69988670.285139337</v>
      </c>
    </row>
    <row r="206" spans="1:12" x14ac:dyDescent="0.25">
      <c r="B206" s="18" t="s">
        <v>8</v>
      </c>
      <c r="C206" s="25">
        <f t="shared" ref="C206:C214" si="28">+I180</f>
        <v>76471766.762557134</v>
      </c>
      <c r="D206" s="125"/>
      <c r="E206" s="125"/>
      <c r="F206" s="125"/>
      <c r="G206" s="125"/>
      <c r="H206" s="65">
        <f t="shared" ref="H206:H214" si="29">+G46</f>
        <v>5.6018800789664862E-5</v>
      </c>
      <c r="I206" s="25">
        <f t="shared" ref="I206:I214" si="30">+C206*(1+$D$205-$E$205-$F$205-$G$205+H206)</f>
        <v>81558136.511927336</v>
      </c>
    </row>
    <row r="207" spans="1:12" x14ac:dyDescent="0.25">
      <c r="B207" s="18" t="s">
        <v>9</v>
      </c>
      <c r="C207" s="25">
        <f t="shared" si="28"/>
        <v>52976887.835297987</v>
      </c>
      <c r="D207" s="125"/>
      <c r="E207" s="125"/>
      <c r="F207" s="125"/>
      <c r="G207" s="125"/>
      <c r="H207" s="65">
        <f t="shared" si="29"/>
        <v>-2.4394248044410462E-4</v>
      </c>
      <c r="I207" s="25">
        <f t="shared" si="30"/>
        <v>56484650.726796158</v>
      </c>
    </row>
    <row r="208" spans="1:12" x14ac:dyDescent="0.25">
      <c r="B208" s="18" t="s">
        <v>10</v>
      </c>
      <c r="C208" s="25">
        <f t="shared" si="28"/>
        <v>12094149.213789754</v>
      </c>
      <c r="D208" s="125"/>
      <c r="E208" s="125"/>
      <c r="F208" s="125"/>
      <c r="G208" s="125"/>
      <c r="H208" s="65">
        <f t="shared" si="29"/>
        <v>3.9220913459452637E-5</v>
      </c>
      <c r="I208" s="25">
        <f t="shared" si="30"/>
        <v>12898364.698782776</v>
      </c>
    </row>
    <row r="209" spans="2:12" x14ac:dyDescent="0.25">
      <c r="B209" s="18" t="s">
        <v>11</v>
      </c>
      <c r="C209" s="25">
        <f t="shared" si="28"/>
        <v>89391029.118841797</v>
      </c>
      <c r="D209" s="125"/>
      <c r="E209" s="125"/>
      <c r="F209" s="125"/>
      <c r="G209" s="125"/>
      <c r="H209" s="65">
        <f t="shared" si="29"/>
        <v>6.1081671287987923E-6</v>
      </c>
      <c r="I209" s="25">
        <f t="shared" si="30"/>
        <v>95332236.730637014</v>
      </c>
    </row>
    <row r="210" spans="2:12" x14ac:dyDescent="0.25">
      <c r="B210" s="18" t="s">
        <v>12</v>
      </c>
      <c r="C210" s="25">
        <f t="shared" si="28"/>
        <v>38248601.480204664</v>
      </c>
      <c r="D210" s="125"/>
      <c r="E210" s="125"/>
      <c r="F210" s="125"/>
      <c r="G210" s="125"/>
      <c r="H210" s="65">
        <f t="shared" si="29"/>
        <v>4.3025888959073951E-5</v>
      </c>
      <c r="I210" s="25">
        <f t="shared" si="30"/>
        <v>40792135.313616961</v>
      </c>
    </row>
    <row r="211" spans="2:12" x14ac:dyDescent="0.25">
      <c r="B211" s="18" t="s">
        <v>13</v>
      </c>
      <c r="C211" s="25">
        <f t="shared" si="28"/>
        <v>31534320.833517797</v>
      </c>
      <c r="D211" s="125"/>
      <c r="E211" s="125"/>
      <c r="F211" s="125"/>
      <c r="G211" s="125"/>
      <c r="H211" s="65">
        <f t="shared" si="29"/>
        <v>4.6267868608704734E-5</v>
      </c>
      <c r="I211" s="25">
        <f t="shared" si="30"/>
        <v>33631456.915433854</v>
      </c>
    </row>
    <row r="212" spans="2:12" x14ac:dyDescent="0.25">
      <c r="B212" s="18" t="s">
        <v>14</v>
      </c>
      <c r="C212" s="25">
        <f t="shared" si="28"/>
        <v>76711480.131092742</v>
      </c>
      <c r="D212" s="125"/>
      <c r="E212" s="125"/>
      <c r="F212" s="125"/>
      <c r="G212" s="125"/>
      <c r="H212" s="65">
        <f t="shared" si="29"/>
        <v>1.7422346672619028E-5</v>
      </c>
      <c r="I212" s="25">
        <f t="shared" si="30"/>
        <v>81810833.154422358</v>
      </c>
    </row>
    <row r="213" spans="2:12" x14ac:dyDescent="0.25">
      <c r="B213" s="18" t="s">
        <v>15</v>
      </c>
      <c r="C213" s="74"/>
      <c r="D213" s="125"/>
      <c r="E213" s="125"/>
      <c r="F213" s="125"/>
      <c r="G213" s="125"/>
      <c r="H213" s="75"/>
      <c r="I213" s="74"/>
    </row>
    <row r="214" spans="2:12" x14ac:dyDescent="0.25">
      <c r="B214" s="18" t="s">
        <v>16</v>
      </c>
      <c r="C214" s="25">
        <f t="shared" si="28"/>
        <v>8159405.352601978</v>
      </c>
      <c r="D214" s="125"/>
      <c r="E214" s="125"/>
      <c r="F214" s="125"/>
      <c r="G214" s="125"/>
      <c r="H214" s="65">
        <f t="shared" si="29"/>
        <v>5.775121071742058E-5</v>
      </c>
      <c r="I214" s="25">
        <f t="shared" si="30"/>
        <v>8702126.3498670887</v>
      </c>
    </row>
    <row r="215" spans="2:12" x14ac:dyDescent="0.25">
      <c r="I215" s="36">
        <f>SUM(I205:I214)</f>
        <v>481198610.68662292</v>
      </c>
    </row>
    <row r="216" spans="2:12" x14ac:dyDescent="0.25">
      <c r="B216" s="2" t="s">
        <v>97</v>
      </c>
    </row>
    <row r="218" spans="2:12" ht="18" x14ac:dyDescent="0.25">
      <c r="B218" s="18"/>
      <c r="C218" s="5" t="s">
        <v>98</v>
      </c>
      <c r="D218" s="5" t="s">
        <v>99</v>
      </c>
      <c r="E218" s="5" t="s">
        <v>100</v>
      </c>
      <c r="F218" s="5" t="s">
        <v>101</v>
      </c>
      <c r="G218" s="5" t="s">
        <v>102</v>
      </c>
      <c r="H218" s="5" t="s">
        <v>103</v>
      </c>
      <c r="I218" s="5" t="s">
        <v>104</v>
      </c>
      <c r="J218" s="5" t="s">
        <v>105</v>
      </c>
      <c r="K218" s="39" t="s">
        <v>106</v>
      </c>
      <c r="L218" s="5" t="s">
        <v>51</v>
      </c>
    </row>
    <row r="219" spans="2:12" x14ac:dyDescent="0.25">
      <c r="B219" s="18" t="s">
        <v>7</v>
      </c>
      <c r="C219" s="79">
        <v>1163508.1000000008</v>
      </c>
      <c r="D219" s="79">
        <v>-18832.987717333333</v>
      </c>
      <c r="E219" s="79">
        <v>31955.803333333333</v>
      </c>
      <c r="F219" s="80">
        <f t="shared" ref="F219:F226" si="31">+C219+D219+E219</f>
        <v>1176630.9156160008</v>
      </c>
      <c r="G219" s="79">
        <v>6565850.4262790028</v>
      </c>
      <c r="H219" s="40">
        <v>0</v>
      </c>
      <c r="I219" s="40">
        <v>0</v>
      </c>
      <c r="J219" s="19">
        <f>+H219+I219</f>
        <v>0</v>
      </c>
      <c r="K219" s="19">
        <v>-3436942.933228496</v>
      </c>
      <c r="L219" s="19">
        <f>+F219+G219+J219+K219</f>
        <v>4305538.4086665083</v>
      </c>
    </row>
    <row r="220" spans="2:12" x14ac:dyDescent="0.25">
      <c r="B220" s="18" t="s">
        <v>8</v>
      </c>
      <c r="C220" s="79">
        <v>1117565.27</v>
      </c>
      <c r="D220" s="79">
        <v>0</v>
      </c>
      <c r="E220" s="79">
        <v>21012.51</v>
      </c>
      <c r="F220" s="80">
        <f t="shared" si="31"/>
        <v>1138577.78</v>
      </c>
      <c r="G220" s="79">
        <v>6300280.5367725007</v>
      </c>
      <c r="H220" s="40">
        <v>0</v>
      </c>
      <c r="I220" s="40">
        <v>0</v>
      </c>
      <c r="J220" s="19">
        <f t="shared" ref="J220:J228" si="32">+H220+I220</f>
        <v>0</v>
      </c>
      <c r="K220" s="19">
        <v>-4480566.7472209884</v>
      </c>
      <c r="L220" s="19">
        <f t="shared" ref="L220:L228" si="33">+F220+G220+J220+K220</f>
        <v>2958291.5695515126</v>
      </c>
    </row>
    <row r="221" spans="2:12" x14ac:dyDescent="0.25">
      <c r="B221" s="18" t="s">
        <v>9</v>
      </c>
      <c r="C221" s="79">
        <v>597882.95666666667</v>
      </c>
      <c r="D221" s="79">
        <v>-11819.955919666667</v>
      </c>
      <c r="E221" s="79">
        <v>43892.443333333329</v>
      </c>
      <c r="F221" s="80">
        <f t="shared" si="31"/>
        <v>629955.44408033334</v>
      </c>
      <c r="G221" s="79">
        <v>3226138.3580645006</v>
      </c>
      <c r="H221" s="40">
        <v>0</v>
      </c>
      <c r="I221" s="40">
        <v>0</v>
      </c>
      <c r="J221" s="19">
        <f t="shared" si="32"/>
        <v>0</v>
      </c>
      <c r="K221" s="19">
        <v>-5285004.0514234919</v>
      </c>
      <c r="L221" s="19">
        <f t="shared" si="33"/>
        <v>-1428910.2492786581</v>
      </c>
    </row>
    <row r="222" spans="2:12" x14ac:dyDescent="0.25">
      <c r="B222" s="18" t="s">
        <v>10</v>
      </c>
      <c r="C222" s="79">
        <v>235513.09333333329</v>
      </c>
      <c r="D222" s="79">
        <v>-9692.7343634000008</v>
      </c>
      <c r="E222" s="79">
        <v>5810.1500000000005</v>
      </c>
      <c r="F222" s="80">
        <f t="shared" si="31"/>
        <v>231630.50896993329</v>
      </c>
      <c r="G222" s="79">
        <v>1305844.0971319999</v>
      </c>
      <c r="H222" s="40">
        <v>0</v>
      </c>
      <c r="I222" s="40">
        <v>0</v>
      </c>
      <c r="J222" s="19">
        <f t="shared" si="32"/>
        <v>0</v>
      </c>
      <c r="K222" s="19">
        <v>-764088.21212546783</v>
      </c>
      <c r="L222" s="19">
        <f t="shared" si="33"/>
        <v>773386.39397646533</v>
      </c>
    </row>
    <row r="223" spans="2:12" x14ac:dyDescent="0.25">
      <c r="B223" s="18" t="s">
        <v>11</v>
      </c>
      <c r="C223" s="79">
        <v>1089689.1133333333</v>
      </c>
      <c r="D223" s="79">
        <v>-8410.0510245999994</v>
      </c>
      <c r="E223" s="79">
        <v>32595.89333333333</v>
      </c>
      <c r="F223" s="80">
        <f t="shared" si="31"/>
        <v>1113874.9556420667</v>
      </c>
      <c r="G223" s="79">
        <v>6149278.7372419983</v>
      </c>
      <c r="H223" s="40">
        <v>0</v>
      </c>
      <c r="I223" s="40">
        <v>0</v>
      </c>
      <c r="J223" s="19">
        <f t="shared" si="32"/>
        <v>0</v>
      </c>
      <c r="K223" s="19">
        <v>-6607436.4566149525</v>
      </c>
      <c r="L223" s="19">
        <f t="shared" si="33"/>
        <v>655717.23626911268</v>
      </c>
    </row>
    <row r="224" spans="2:12" x14ac:dyDescent="0.25">
      <c r="B224" s="18" t="s">
        <v>12</v>
      </c>
      <c r="C224" s="79">
        <v>644652.8833333333</v>
      </c>
      <c r="D224" s="79">
        <v>-3700.4392069999999</v>
      </c>
      <c r="E224" s="79">
        <v>19910.433333333334</v>
      </c>
      <c r="F224" s="80">
        <f t="shared" si="31"/>
        <v>660862.87745966669</v>
      </c>
      <c r="G224" s="79">
        <v>3637872.4630665006</v>
      </c>
      <c r="H224" s="40">
        <v>0</v>
      </c>
      <c r="I224" s="40">
        <v>0</v>
      </c>
      <c r="J224" s="19">
        <f t="shared" si="32"/>
        <v>0</v>
      </c>
      <c r="K224" s="19">
        <v>-2664857.6037544268</v>
      </c>
      <c r="L224" s="19">
        <f t="shared" si="33"/>
        <v>1633877.7367717405</v>
      </c>
    </row>
    <row r="225" spans="2:12" x14ac:dyDescent="0.25">
      <c r="B225" s="18" t="s">
        <v>13</v>
      </c>
      <c r="C225" s="79">
        <v>439064.1166666667</v>
      </c>
      <c r="D225" s="79">
        <v>-8501.8369884666663</v>
      </c>
      <c r="E225" s="79">
        <v>21352.043333333331</v>
      </c>
      <c r="F225" s="80">
        <f t="shared" si="31"/>
        <v>451914.32301153336</v>
      </c>
      <c r="G225" s="79">
        <v>2477704.5613485002</v>
      </c>
      <c r="H225" s="40">
        <v>0</v>
      </c>
      <c r="I225" s="40">
        <v>0</v>
      </c>
      <c r="J225" s="19">
        <f t="shared" si="32"/>
        <v>0</v>
      </c>
      <c r="K225" s="19">
        <v>-3069075.5351928286</v>
      </c>
      <c r="L225" s="19">
        <f t="shared" si="33"/>
        <v>-139456.65083279507</v>
      </c>
    </row>
    <row r="226" spans="2:12" x14ac:dyDescent="0.25">
      <c r="B226" s="18" t="s">
        <v>14</v>
      </c>
      <c r="C226" s="79">
        <v>1002072.0033333335</v>
      </c>
      <c r="D226" s="79">
        <v>0</v>
      </c>
      <c r="E226" s="79">
        <v>34525.71</v>
      </c>
      <c r="F226" s="80">
        <f t="shared" si="31"/>
        <v>1036597.7133333335</v>
      </c>
      <c r="G226" s="79">
        <v>5654842.4401955009</v>
      </c>
      <c r="H226" s="40">
        <v>0</v>
      </c>
      <c r="I226" s="40">
        <v>0</v>
      </c>
      <c r="J226" s="19">
        <f t="shared" si="32"/>
        <v>0</v>
      </c>
      <c r="K226" s="19">
        <v>-5337712.3248574557</v>
      </c>
      <c r="L226" s="19">
        <f t="shared" si="33"/>
        <v>1353727.828671379</v>
      </c>
    </row>
    <row r="227" spans="2:12" x14ac:dyDescent="0.25">
      <c r="B227" s="18" t="s">
        <v>15</v>
      </c>
      <c r="C227" s="81"/>
      <c r="D227" s="81"/>
      <c r="E227" s="81"/>
      <c r="F227" s="81"/>
      <c r="G227" s="81"/>
      <c r="H227" s="10"/>
      <c r="I227" s="10"/>
      <c r="J227" s="10"/>
      <c r="K227" s="10"/>
      <c r="L227" s="10"/>
    </row>
    <row r="228" spans="2:12" x14ac:dyDescent="0.25">
      <c r="B228" s="18" t="s">
        <v>16</v>
      </c>
      <c r="C228" s="79">
        <v>194566.82999999996</v>
      </c>
      <c r="D228" s="79">
        <v>0</v>
      </c>
      <c r="E228" s="79">
        <v>3251.5933333333337</v>
      </c>
      <c r="F228" s="80">
        <f t="shared" ref="F228" si="34">+C228+D228+E228</f>
        <v>197818.42333333328</v>
      </c>
      <c r="G228" s="79">
        <v>1097969.6260334998</v>
      </c>
      <c r="H228" s="40">
        <v>0</v>
      </c>
      <c r="I228" s="40">
        <v>0</v>
      </c>
      <c r="J228" s="19">
        <f t="shared" si="32"/>
        <v>0</v>
      </c>
      <c r="K228" s="19">
        <v>-629954.74386937963</v>
      </c>
      <c r="L228" s="19">
        <f t="shared" si="33"/>
        <v>665833.30549745355</v>
      </c>
    </row>
    <row r="229" spans="2:12" x14ac:dyDescent="0.25">
      <c r="C229" s="38"/>
      <c r="E229" s="38"/>
      <c r="F229" s="36">
        <f>SUM(F219:F228)</f>
        <v>6637862.9414462009</v>
      </c>
      <c r="G229" s="36">
        <f>SUM(G219:G228)</f>
        <v>36415781.246134005</v>
      </c>
      <c r="K229" s="36">
        <f>SUM(K219:K228)</f>
        <v>-32275638.608287487</v>
      </c>
    </row>
    <row r="230" spans="2:12" x14ac:dyDescent="0.25">
      <c r="B230" s="2" t="s">
        <v>107</v>
      </c>
    </row>
    <row r="231" spans="2:12" ht="15.75" thickBot="1" x14ac:dyDescent="0.3"/>
    <row r="232" spans="2:12" ht="18.75" thickBot="1" x14ac:dyDescent="0.3">
      <c r="B232" s="43"/>
      <c r="C232" s="5" t="s">
        <v>96</v>
      </c>
      <c r="D232" s="5" t="str">
        <f t="shared" ref="D232:D240" si="35">+L218</f>
        <v>Totaal aanvullend</v>
      </c>
      <c r="E232" s="44" t="s">
        <v>108</v>
      </c>
    </row>
    <row r="233" spans="2:12" x14ac:dyDescent="0.25">
      <c r="B233" s="6" t="s">
        <v>7</v>
      </c>
      <c r="C233" s="68">
        <f>+I205</f>
        <v>69988670.285139337</v>
      </c>
      <c r="D233" s="47">
        <f t="shared" si="35"/>
        <v>4305538.4086665083</v>
      </c>
      <c r="E233" s="48">
        <f>+D233+C233</f>
        <v>74294208.693805844</v>
      </c>
    </row>
    <row r="234" spans="2:12" x14ac:dyDescent="0.25">
      <c r="B234" s="9" t="s">
        <v>8</v>
      </c>
      <c r="C234" s="68">
        <f t="shared" ref="C234:C242" si="36">+I206</f>
        <v>81558136.511927336</v>
      </c>
      <c r="D234" s="47">
        <f t="shared" si="35"/>
        <v>2958291.5695515126</v>
      </c>
      <c r="E234" s="50">
        <f t="shared" ref="E234:E242" si="37">+D234+C234</f>
        <v>84516428.081478849</v>
      </c>
    </row>
    <row r="235" spans="2:12" x14ac:dyDescent="0.25">
      <c r="B235" s="9" t="s">
        <v>9</v>
      </c>
      <c r="C235" s="68">
        <f t="shared" si="36"/>
        <v>56484650.726796158</v>
      </c>
      <c r="D235" s="47">
        <f t="shared" si="35"/>
        <v>-1428910.2492786581</v>
      </c>
      <c r="E235" s="50">
        <f t="shared" si="37"/>
        <v>55055740.477517501</v>
      </c>
    </row>
    <row r="236" spans="2:12" x14ac:dyDescent="0.25">
      <c r="B236" s="9" t="s">
        <v>10</v>
      </c>
      <c r="C236" s="68">
        <f t="shared" si="36"/>
        <v>12898364.698782776</v>
      </c>
      <c r="D236" s="47">
        <f t="shared" si="35"/>
        <v>773386.39397646533</v>
      </c>
      <c r="E236" s="50">
        <f t="shared" si="37"/>
        <v>13671751.09275924</v>
      </c>
    </row>
    <row r="237" spans="2:12" x14ac:dyDescent="0.25">
      <c r="B237" s="9" t="s">
        <v>11</v>
      </c>
      <c r="C237" s="68">
        <f t="shared" si="36"/>
        <v>95332236.730637014</v>
      </c>
      <c r="D237" s="47">
        <f t="shared" si="35"/>
        <v>655717.23626911268</v>
      </c>
      <c r="E237" s="50">
        <f t="shared" si="37"/>
        <v>95987953.96690613</v>
      </c>
    </row>
    <row r="238" spans="2:12" x14ac:dyDescent="0.25">
      <c r="B238" s="9" t="s">
        <v>12</v>
      </c>
      <c r="C238" s="68">
        <f t="shared" si="36"/>
        <v>40792135.313616961</v>
      </c>
      <c r="D238" s="47">
        <f t="shared" si="35"/>
        <v>1633877.7367717405</v>
      </c>
      <c r="E238" s="50">
        <f t="shared" si="37"/>
        <v>42426013.050388701</v>
      </c>
    </row>
    <row r="239" spans="2:12" x14ac:dyDescent="0.25">
      <c r="B239" s="9" t="s">
        <v>13</v>
      </c>
      <c r="C239" s="68">
        <f t="shared" si="36"/>
        <v>33631456.915433854</v>
      </c>
      <c r="D239" s="47">
        <f t="shared" si="35"/>
        <v>-139456.65083279507</v>
      </c>
      <c r="E239" s="50">
        <f t="shared" si="37"/>
        <v>33492000.264601059</v>
      </c>
    </row>
    <row r="240" spans="2:12" x14ac:dyDescent="0.25">
      <c r="B240" s="9" t="s">
        <v>14</v>
      </c>
      <c r="C240" s="68">
        <f t="shared" si="36"/>
        <v>81810833.154422358</v>
      </c>
      <c r="D240" s="47">
        <f t="shared" si="35"/>
        <v>1353727.828671379</v>
      </c>
      <c r="E240" s="50">
        <f t="shared" si="37"/>
        <v>83164560.983093739</v>
      </c>
    </row>
    <row r="241" spans="1:12" x14ac:dyDescent="0.25">
      <c r="B241" s="9" t="s">
        <v>15</v>
      </c>
      <c r="C241" s="70"/>
      <c r="D241" s="71"/>
      <c r="E241" s="72"/>
    </row>
    <row r="242" spans="1:12" ht="15.75" thickBot="1" x14ac:dyDescent="0.3">
      <c r="B242" s="12" t="s">
        <v>16</v>
      </c>
      <c r="C242" s="68">
        <f t="shared" si="36"/>
        <v>8702126.3498670887</v>
      </c>
      <c r="D242" s="47">
        <f>+L228</f>
        <v>665833.30549745355</v>
      </c>
      <c r="E242" s="54">
        <f t="shared" si="37"/>
        <v>9367959.6553645432</v>
      </c>
    </row>
    <row r="243" spans="1:12" x14ac:dyDescent="0.25">
      <c r="C243" s="36">
        <f>SUM(C233:C242)</f>
        <v>481198610.68662292</v>
      </c>
      <c r="D243" s="36">
        <f>SUM(D233:D242)</f>
        <v>10778005.579292718</v>
      </c>
      <c r="E243" s="36">
        <f>SUM(E233:E242)</f>
        <v>491976616.26591563</v>
      </c>
    </row>
    <row r="245" spans="1:12" s="117" customFormat="1" x14ac:dyDescent="0.25">
      <c r="A245" s="116"/>
      <c r="B245" s="118" t="s">
        <v>109</v>
      </c>
      <c r="C245" s="118"/>
      <c r="D245" s="118"/>
      <c r="E245" s="118"/>
      <c r="F245" s="118"/>
      <c r="G245" s="118"/>
      <c r="H245" s="118"/>
      <c r="I245" s="118"/>
      <c r="J245" s="118"/>
      <c r="K245" s="116"/>
      <c r="L245" s="116"/>
    </row>
    <row r="246" spans="1:12" s="84" customFormat="1" x14ac:dyDescent="0.25"/>
    <row r="247" spans="1:12" s="84" customFormat="1" x14ac:dyDescent="0.25">
      <c r="B247" s="85" t="s">
        <v>55</v>
      </c>
    </row>
    <row r="248" spans="1:12" s="84" customFormat="1" x14ac:dyDescent="0.25"/>
    <row r="249" spans="1:12" s="84" customFormat="1" ht="18" x14ac:dyDescent="0.35">
      <c r="B249" s="86" t="s">
        <v>110</v>
      </c>
      <c r="C249" s="87">
        <v>128.13999999999999</v>
      </c>
      <c r="D249" s="84" t="s">
        <v>28</v>
      </c>
    </row>
    <row r="250" spans="1:12" s="84" customFormat="1" ht="18" x14ac:dyDescent="0.35">
      <c r="B250" s="86" t="s">
        <v>111</v>
      </c>
      <c r="C250" s="88">
        <f>+C199</f>
        <v>123.05</v>
      </c>
      <c r="D250" s="84" t="s">
        <v>28</v>
      </c>
    </row>
    <row r="251" spans="1:12" s="84" customFormat="1" ht="18" x14ac:dyDescent="0.35">
      <c r="B251" s="86" t="s">
        <v>112</v>
      </c>
      <c r="C251" s="89">
        <f>+C249/C250-1</f>
        <v>4.1365298659081562E-2</v>
      </c>
    </row>
    <row r="252" spans="1:12" s="84" customFormat="1" x14ac:dyDescent="0.25"/>
    <row r="253" spans="1:12" s="84" customFormat="1" x14ac:dyDescent="0.25">
      <c r="B253" s="85" t="s">
        <v>113</v>
      </c>
    </row>
    <row r="254" spans="1:12" s="84" customFormat="1" x14ac:dyDescent="0.25"/>
    <row r="255" spans="1:12" s="84" customFormat="1" ht="18" x14ac:dyDescent="0.25">
      <c r="B255" s="90"/>
      <c r="C255" s="91" t="s">
        <v>114</v>
      </c>
      <c r="D255" s="91" t="s">
        <v>115</v>
      </c>
      <c r="E255" s="91" t="s">
        <v>35</v>
      </c>
      <c r="F255" s="91" t="s">
        <v>68</v>
      </c>
      <c r="G255" s="91" t="s">
        <v>36</v>
      </c>
      <c r="H255" s="91" t="s">
        <v>116</v>
      </c>
      <c r="I255" s="91" t="s">
        <v>117</v>
      </c>
    </row>
    <row r="256" spans="1:12" s="84" customFormat="1" x14ac:dyDescent="0.25">
      <c r="B256" s="90" t="s">
        <v>7</v>
      </c>
      <c r="C256" s="92">
        <f>+I179</f>
        <v>65624732.159110464</v>
      </c>
      <c r="D256" s="119">
        <f>+C251</f>
        <v>4.1365298659081562E-2</v>
      </c>
      <c r="E256" s="119">
        <f>+$J$39</f>
        <v>-1.9826257980977147E-2</v>
      </c>
      <c r="F256" s="119">
        <f>+$C$123</f>
        <v>1.7146562185008984E-2</v>
      </c>
      <c r="G256" s="119">
        <f>+$C$40</f>
        <v>4.0000000000000001E-3</v>
      </c>
      <c r="H256" s="93">
        <f>+G45</f>
        <v>4.1354096962781971E-5</v>
      </c>
      <c r="I256" s="92">
        <f>+C256*(1+$D$256-$E$256-$F$256-$G$256+H256)</f>
        <v>68255388.046073034</v>
      </c>
    </row>
    <row r="257" spans="1:12" s="84" customFormat="1" x14ac:dyDescent="0.25">
      <c r="B257" s="90" t="s">
        <v>8</v>
      </c>
      <c r="C257" s="92">
        <f t="shared" ref="C257:C265" si="38">+I180</f>
        <v>76471766.762557134</v>
      </c>
      <c r="D257" s="120"/>
      <c r="E257" s="120"/>
      <c r="F257" s="120"/>
      <c r="G257" s="120"/>
      <c r="H257" s="93">
        <f t="shared" ref="H257:H265" si="39">+G46</f>
        <v>5.6018800789664862E-5</v>
      </c>
      <c r="I257" s="92">
        <f t="shared" ref="I257:I265" si="40">+C257*(1+$D$256-$E$256-$F$256-$G$256+H257)</f>
        <v>79538362.095199898</v>
      </c>
    </row>
    <row r="258" spans="1:12" s="84" customFormat="1" x14ac:dyDescent="0.25">
      <c r="B258" s="90" t="s">
        <v>9</v>
      </c>
      <c r="C258" s="92">
        <f t="shared" si="38"/>
        <v>52976887.835297987</v>
      </c>
      <c r="D258" s="120"/>
      <c r="E258" s="120"/>
      <c r="F258" s="120"/>
      <c r="G258" s="120"/>
      <c r="H258" s="93">
        <f t="shared" si="39"/>
        <v>-2.4394248044410462E-4</v>
      </c>
      <c r="I258" s="92">
        <f t="shared" si="40"/>
        <v>55085423.70148354</v>
      </c>
    </row>
    <row r="259" spans="1:12" s="84" customFormat="1" x14ac:dyDescent="0.25">
      <c r="B259" s="90" t="s">
        <v>10</v>
      </c>
      <c r="C259" s="92">
        <f t="shared" si="38"/>
        <v>12094149.213789754</v>
      </c>
      <c r="D259" s="120"/>
      <c r="E259" s="120"/>
      <c r="F259" s="120"/>
      <c r="G259" s="120"/>
      <c r="H259" s="93">
        <f t="shared" si="39"/>
        <v>3.9220913459452637E-5</v>
      </c>
      <c r="I259" s="92">
        <f t="shared" si="40"/>
        <v>12578933.695574189</v>
      </c>
    </row>
    <row r="260" spans="1:12" s="84" customFormat="1" x14ac:dyDescent="0.25">
      <c r="B260" s="90" t="s">
        <v>11</v>
      </c>
      <c r="C260" s="92">
        <f t="shared" si="38"/>
        <v>89391029.118841797</v>
      </c>
      <c r="D260" s="120"/>
      <c r="E260" s="120"/>
      <c r="F260" s="120"/>
      <c r="G260" s="120"/>
      <c r="H260" s="93">
        <f t="shared" si="39"/>
        <v>6.1081671287987923E-6</v>
      </c>
      <c r="I260" s="92">
        <f t="shared" si="40"/>
        <v>92971238.399582684</v>
      </c>
    </row>
    <row r="261" spans="1:12" s="84" customFormat="1" x14ac:dyDescent="0.25">
      <c r="B261" s="90" t="s">
        <v>12</v>
      </c>
      <c r="C261" s="92">
        <f t="shared" si="38"/>
        <v>38248601.480204664</v>
      </c>
      <c r="D261" s="120"/>
      <c r="E261" s="120"/>
      <c r="F261" s="120"/>
      <c r="G261" s="120"/>
      <c r="H261" s="93">
        <f t="shared" si="39"/>
        <v>4.3025888959073951E-5</v>
      </c>
      <c r="I261" s="92">
        <f t="shared" si="40"/>
        <v>39781912.194472998</v>
      </c>
    </row>
    <row r="262" spans="1:12" s="84" customFormat="1" x14ac:dyDescent="0.25">
      <c r="B262" s="90" t="s">
        <v>13</v>
      </c>
      <c r="C262" s="92">
        <f t="shared" si="38"/>
        <v>31534320.833517797</v>
      </c>
      <c r="D262" s="120"/>
      <c r="E262" s="120"/>
      <c r="F262" s="120"/>
      <c r="G262" s="120"/>
      <c r="H262" s="93">
        <f t="shared" si="39"/>
        <v>4.6267868608704734E-5</v>
      </c>
      <c r="I262" s="92">
        <f t="shared" si="40"/>
        <v>32798571.562252767</v>
      </c>
    </row>
    <row r="263" spans="1:12" s="84" customFormat="1" x14ac:dyDescent="0.25">
      <c r="B263" s="90" t="s">
        <v>14</v>
      </c>
      <c r="C263" s="92">
        <f t="shared" si="38"/>
        <v>76711480.131092742</v>
      </c>
      <c r="D263" s="120"/>
      <c r="E263" s="120"/>
      <c r="F263" s="120"/>
      <c r="G263" s="120"/>
      <c r="H263" s="93">
        <f t="shared" si="39"/>
        <v>1.7422346672619028E-5</v>
      </c>
      <c r="I263" s="92">
        <f t="shared" si="40"/>
        <v>79784727.421581641</v>
      </c>
    </row>
    <row r="264" spans="1:12" s="84" customFormat="1" x14ac:dyDescent="0.25">
      <c r="B264" s="90" t="s">
        <v>15</v>
      </c>
      <c r="C264" s="94"/>
      <c r="D264" s="120"/>
      <c r="E264" s="120"/>
      <c r="F264" s="120"/>
      <c r="G264" s="120"/>
      <c r="H264" s="95"/>
      <c r="I264" s="94"/>
    </row>
    <row r="265" spans="1:12" s="84" customFormat="1" x14ac:dyDescent="0.25">
      <c r="B265" s="90" t="s">
        <v>16</v>
      </c>
      <c r="C265" s="92">
        <f t="shared" si="38"/>
        <v>8159405.352601978</v>
      </c>
      <c r="D265" s="120"/>
      <c r="E265" s="120"/>
      <c r="F265" s="120"/>
      <c r="G265" s="120"/>
      <c r="H265" s="93">
        <f t="shared" si="39"/>
        <v>5.775121071742058E-5</v>
      </c>
      <c r="I265" s="92">
        <f t="shared" si="40"/>
        <v>8486619.9102412742</v>
      </c>
    </row>
    <row r="266" spans="1:12" s="84" customFormat="1" x14ac:dyDescent="0.25">
      <c r="C266" s="96"/>
      <c r="D266" s="97"/>
      <c r="E266" s="97"/>
      <c r="F266" s="97"/>
      <c r="G266" s="97"/>
      <c r="H266" s="98"/>
      <c r="I266" s="36">
        <f>SUM(I256:I265)</f>
        <v>469281177.02646196</v>
      </c>
    </row>
    <row r="267" spans="1:12" s="84" customFormat="1" ht="15.75" thickBot="1" x14ac:dyDescent="0.3"/>
    <row r="268" spans="1:12" s="117" customFormat="1" ht="21.75" thickBot="1" x14ac:dyDescent="0.4">
      <c r="A268" s="116"/>
      <c r="B268" s="121" t="s">
        <v>118</v>
      </c>
      <c r="C268" s="122"/>
      <c r="D268" s="122"/>
      <c r="E268" s="122"/>
      <c r="F268" s="122"/>
      <c r="G268" s="122"/>
      <c r="H268" s="122"/>
      <c r="I268" s="122"/>
      <c r="J268" s="123"/>
      <c r="K268" s="116"/>
      <c r="L268" s="116"/>
    </row>
    <row r="269" spans="1:12" s="84" customFormat="1" x14ac:dyDescent="0.25"/>
    <row r="270" spans="1:12" s="84" customFormat="1" x14ac:dyDescent="0.25"/>
    <row r="271" spans="1:12" s="117" customFormat="1" x14ac:dyDescent="0.25">
      <c r="A271" s="116"/>
      <c r="B271" s="118" t="s">
        <v>3</v>
      </c>
      <c r="C271" s="118"/>
      <c r="D271" s="118"/>
      <c r="E271" s="118"/>
      <c r="F271" s="118"/>
      <c r="G271" s="118"/>
      <c r="H271" s="118"/>
      <c r="I271" s="118"/>
      <c r="J271" s="118"/>
      <c r="K271" s="116"/>
      <c r="L271" s="116"/>
    </row>
    <row r="272" spans="1:12" s="84" customFormat="1" x14ac:dyDescent="0.25"/>
    <row r="273" spans="2:9" s="84" customFormat="1" x14ac:dyDescent="0.25">
      <c r="B273" s="85" t="s">
        <v>119</v>
      </c>
    </row>
    <row r="274" spans="2:9" s="84" customFormat="1" x14ac:dyDescent="0.25"/>
    <row r="275" spans="2:9" s="84" customFormat="1" ht="18" x14ac:dyDescent="0.35">
      <c r="B275" s="86" t="s">
        <v>120</v>
      </c>
      <c r="C275" s="87">
        <v>133.36000000000001</v>
      </c>
      <c r="D275" s="84" t="s">
        <v>25</v>
      </c>
      <c r="E275" s="1" t="s">
        <v>64</v>
      </c>
    </row>
    <row r="276" spans="2:9" s="84" customFormat="1" ht="18" x14ac:dyDescent="0.35">
      <c r="B276" s="86" t="s">
        <v>110</v>
      </c>
      <c r="C276" s="88">
        <f>+C249</f>
        <v>128.13999999999999</v>
      </c>
      <c r="D276" s="84" t="s">
        <v>28</v>
      </c>
    </row>
    <row r="277" spans="2:9" s="84" customFormat="1" ht="18" x14ac:dyDescent="0.35">
      <c r="B277" s="86" t="s">
        <v>121</v>
      </c>
      <c r="C277" s="89">
        <f>+C275/C276-1</f>
        <v>4.0736694240674387E-2</v>
      </c>
    </row>
    <row r="278" spans="2:9" s="84" customFormat="1" x14ac:dyDescent="0.25"/>
    <row r="279" spans="2:9" s="84" customFormat="1" x14ac:dyDescent="0.25">
      <c r="B279" s="85" t="s">
        <v>122</v>
      </c>
    </row>
    <row r="280" spans="2:9" s="84" customFormat="1" x14ac:dyDescent="0.25"/>
    <row r="281" spans="2:9" s="84" customFormat="1" ht="18" x14ac:dyDescent="0.25">
      <c r="B281" s="90"/>
      <c r="C281" s="91" t="s">
        <v>117</v>
      </c>
      <c r="D281" s="91" t="s">
        <v>123</v>
      </c>
      <c r="E281" s="91" t="s">
        <v>35</v>
      </c>
      <c r="F281" s="91" t="s">
        <v>68</v>
      </c>
      <c r="G281" s="91" t="s">
        <v>36</v>
      </c>
      <c r="H281" s="91" t="s">
        <v>116</v>
      </c>
      <c r="I281" s="91" t="s">
        <v>124</v>
      </c>
    </row>
    <row r="282" spans="2:9" s="84" customFormat="1" x14ac:dyDescent="0.25">
      <c r="B282" s="90" t="s">
        <v>7</v>
      </c>
      <c r="C282" s="92">
        <f>+I256</f>
        <v>68255388.046073034</v>
      </c>
      <c r="D282" s="119">
        <f>+C277</f>
        <v>4.0736694240674387E-2</v>
      </c>
      <c r="E282" s="119">
        <f>+$J$39</f>
        <v>-1.9826257980977147E-2</v>
      </c>
      <c r="F282" s="119">
        <f>+$C$123</f>
        <v>1.7146562185008984E-2</v>
      </c>
      <c r="G282" s="119">
        <f>+$C$40</f>
        <v>4.0000000000000001E-3</v>
      </c>
      <c r="H282" s="93">
        <f>+G45</f>
        <v>4.1354096962781971E-5</v>
      </c>
      <c r="I282" s="92">
        <f>+C282*(1+$D$282-$E$282-$F$282-$G$282+H282)</f>
        <v>70948591.683334932</v>
      </c>
    </row>
    <row r="283" spans="2:9" s="84" customFormat="1" x14ac:dyDescent="0.25">
      <c r="B283" s="90" t="s">
        <v>8</v>
      </c>
      <c r="C283" s="92">
        <f t="shared" ref="C283:C291" si="41">+I257</f>
        <v>79538362.095199898</v>
      </c>
      <c r="D283" s="120"/>
      <c r="E283" s="120"/>
      <c r="F283" s="120"/>
      <c r="G283" s="120"/>
      <c r="H283" s="93">
        <f t="shared" ref="H283:H291" si="42">+G46</f>
        <v>5.6018800789664862E-5</v>
      </c>
      <c r="I283" s="92">
        <f t="shared" ref="I283:I291" si="43">+C283*(1+$D$282-$E$282-$F$282-$G$282+H283)</f>
        <v>82677932.842081353</v>
      </c>
    </row>
    <row r="284" spans="2:9" s="84" customFormat="1" x14ac:dyDescent="0.25">
      <c r="B284" s="90" t="s">
        <v>9</v>
      </c>
      <c r="C284" s="92">
        <f t="shared" si="41"/>
        <v>55085423.70148354</v>
      </c>
      <c r="D284" s="120"/>
      <c r="E284" s="120"/>
      <c r="F284" s="120"/>
      <c r="G284" s="120"/>
      <c r="H284" s="93">
        <f t="shared" si="42"/>
        <v>-2.4394248044410462E-4</v>
      </c>
      <c r="I284" s="92">
        <f t="shared" si="43"/>
        <v>57243254.572540879</v>
      </c>
    </row>
    <row r="285" spans="2:9" s="84" customFormat="1" x14ac:dyDescent="0.25">
      <c r="B285" s="90" t="s">
        <v>10</v>
      </c>
      <c r="C285" s="92">
        <f t="shared" si="41"/>
        <v>12578933.695574189</v>
      </c>
      <c r="D285" s="120"/>
      <c r="E285" s="120"/>
      <c r="F285" s="120"/>
      <c r="G285" s="120"/>
      <c r="H285" s="93">
        <f t="shared" si="42"/>
        <v>3.9220913459452637E-5</v>
      </c>
      <c r="I285" s="92">
        <f t="shared" si="43"/>
        <v>13075243.209633894</v>
      </c>
    </row>
    <row r="286" spans="2:9" s="84" customFormat="1" x14ac:dyDescent="0.25">
      <c r="B286" s="90" t="s">
        <v>11</v>
      </c>
      <c r="C286" s="92">
        <f t="shared" si="41"/>
        <v>92971238.399582684</v>
      </c>
      <c r="D286" s="120"/>
      <c r="E286" s="120"/>
      <c r="F286" s="120"/>
      <c r="G286" s="120"/>
      <c r="H286" s="93">
        <f t="shared" si="42"/>
        <v>6.1081671287987923E-6</v>
      </c>
      <c r="I286" s="92">
        <f t="shared" si="43"/>
        <v>96636396.878392637</v>
      </c>
    </row>
    <row r="287" spans="2:9" s="84" customFormat="1" x14ac:dyDescent="0.25">
      <c r="B287" s="90" t="s">
        <v>12</v>
      </c>
      <c r="C287" s="92">
        <f t="shared" si="41"/>
        <v>39781912.194472998</v>
      </c>
      <c r="D287" s="120"/>
      <c r="E287" s="120"/>
      <c r="F287" s="120"/>
      <c r="G287" s="120"/>
      <c r="H287" s="93">
        <f t="shared" si="42"/>
        <v>4.3025888959073951E-5</v>
      </c>
      <c r="I287" s="92">
        <f t="shared" si="43"/>
        <v>41351683.214070469</v>
      </c>
    </row>
    <row r="288" spans="2:9" s="84" customFormat="1" x14ac:dyDescent="0.25">
      <c r="B288" s="90" t="s">
        <v>13</v>
      </c>
      <c r="C288" s="92">
        <f t="shared" si="41"/>
        <v>32798571.562252767</v>
      </c>
      <c r="D288" s="120"/>
      <c r="E288" s="120"/>
      <c r="F288" s="120"/>
      <c r="G288" s="120"/>
      <c r="H288" s="93">
        <f t="shared" si="42"/>
        <v>4.6267868608704734E-5</v>
      </c>
      <c r="I288" s="92">
        <f t="shared" si="43"/>
        <v>34092890.371594854</v>
      </c>
    </row>
    <row r="289" spans="2:12" s="84" customFormat="1" x14ac:dyDescent="0.25">
      <c r="B289" s="90" t="s">
        <v>14</v>
      </c>
      <c r="C289" s="92">
        <f t="shared" si="41"/>
        <v>79784727.421581641</v>
      </c>
      <c r="D289" s="120"/>
      <c r="E289" s="120"/>
      <c r="F289" s="120"/>
      <c r="G289" s="120"/>
      <c r="H289" s="93">
        <f t="shared" si="42"/>
        <v>1.7422346672619028E-5</v>
      </c>
      <c r="I289" s="92">
        <f t="shared" si="43"/>
        <v>82930943.39377825</v>
      </c>
    </row>
    <row r="290" spans="2:12" s="84" customFormat="1" x14ac:dyDescent="0.25">
      <c r="B290" s="90" t="s">
        <v>15</v>
      </c>
      <c r="C290" s="94"/>
      <c r="D290" s="120"/>
      <c r="E290" s="120"/>
      <c r="F290" s="120"/>
      <c r="G290" s="120"/>
      <c r="H290" s="95"/>
      <c r="I290" s="94"/>
    </row>
    <row r="291" spans="2:12" s="84" customFormat="1" x14ac:dyDescent="0.25">
      <c r="B291" s="90" t="s">
        <v>16</v>
      </c>
      <c r="C291" s="92">
        <f t="shared" si="41"/>
        <v>8486619.9102412742</v>
      </c>
      <c r="D291" s="120"/>
      <c r="E291" s="120"/>
      <c r="F291" s="120"/>
      <c r="G291" s="120"/>
      <c r="H291" s="93">
        <f t="shared" si="42"/>
        <v>5.775121071742058E-5</v>
      </c>
      <c r="I291" s="92">
        <f t="shared" si="43"/>
        <v>8821621.9432907961</v>
      </c>
    </row>
    <row r="292" spans="2:12" s="84" customFormat="1" x14ac:dyDescent="0.25">
      <c r="I292" s="36">
        <f>SUM(I282:I291)</f>
        <v>487778558.10871798</v>
      </c>
    </row>
    <row r="293" spans="2:12" s="84" customFormat="1" x14ac:dyDescent="0.25">
      <c r="B293" s="85" t="s">
        <v>125</v>
      </c>
    </row>
    <row r="294" spans="2:12" s="84" customFormat="1" x14ac:dyDescent="0.25"/>
    <row r="295" spans="2:12" s="84" customFormat="1" ht="18" x14ac:dyDescent="0.25">
      <c r="B295" s="90"/>
      <c r="C295" s="91" t="s">
        <v>126</v>
      </c>
      <c r="D295" s="91" t="s">
        <v>127</v>
      </c>
      <c r="E295" s="91" t="s">
        <v>128</v>
      </c>
      <c r="F295" s="91" t="s">
        <v>129</v>
      </c>
      <c r="G295" s="91" t="s">
        <v>130</v>
      </c>
      <c r="H295" s="91" t="s">
        <v>131</v>
      </c>
      <c r="I295" s="91" t="s">
        <v>132</v>
      </c>
      <c r="J295" s="91" t="s">
        <v>133</v>
      </c>
      <c r="K295" s="99" t="s">
        <v>134</v>
      </c>
      <c r="L295" s="91" t="s">
        <v>51</v>
      </c>
    </row>
    <row r="296" spans="2:12" s="84" customFormat="1" x14ac:dyDescent="0.25">
      <c r="B296" s="90" t="s">
        <v>7</v>
      </c>
      <c r="C296" s="100">
        <f>'[1]T9 - Overzicht'!$B$20</f>
        <v>1163508.1000000006</v>
      </c>
      <c r="D296" s="100">
        <v>0</v>
      </c>
      <c r="E296" s="100">
        <f>'[1]T9 - Overzicht'!$B$21</f>
        <v>36580.840000000004</v>
      </c>
      <c r="F296" s="101">
        <f>+C296+D296+E296</f>
        <v>1200088.9400000006</v>
      </c>
      <c r="G296" s="100">
        <f>'[1]T9 - Overzicht'!$B$36</f>
        <v>5974904.7138570026</v>
      </c>
      <c r="H296" s="100">
        <v>0</v>
      </c>
      <c r="I296" s="100">
        <v>0</v>
      </c>
      <c r="J296" s="101">
        <f>+H296+I296</f>
        <v>0</v>
      </c>
      <c r="K296" s="101">
        <f>VLOOKUP(B296,[2]T15!$G$6:$K$15,5,0)</f>
        <v>0</v>
      </c>
      <c r="L296" s="101">
        <f>+F296+G296+J296+K296</f>
        <v>7174993.653857003</v>
      </c>
    </row>
    <row r="297" spans="2:12" s="84" customFormat="1" x14ac:dyDescent="0.25">
      <c r="B297" s="90" t="s">
        <v>8</v>
      </c>
      <c r="C297" s="100">
        <f>'[3]T9 - Overzicht'!$B$20</f>
        <v>1117179.843333333</v>
      </c>
      <c r="D297" s="100">
        <v>0</v>
      </c>
      <c r="E297" s="100">
        <f>'[3]T9 - Overzicht'!$B$21</f>
        <v>23821.146666666667</v>
      </c>
      <c r="F297" s="101">
        <f t="shared" ref="F297:F303" si="44">+C297+D297+E297</f>
        <v>1141000.9899999998</v>
      </c>
      <c r="G297" s="100">
        <f>'[3]T9 - Overzicht'!$B$36</f>
        <v>5732509.1697955001</v>
      </c>
      <c r="H297" s="100">
        <v>0</v>
      </c>
      <c r="I297" s="100">
        <v>0</v>
      </c>
      <c r="J297" s="101">
        <f t="shared" ref="J297:J305" si="45">+H297+I297</f>
        <v>0</v>
      </c>
      <c r="K297" s="101">
        <f>VLOOKUP(B297,[2]T15!$G$6:$K$15,5,0)</f>
        <v>0</v>
      </c>
      <c r="L297" s="101">
        <f t="shared" ref="L297:L305" si="46">+F297+G297+J297+K297</f>
        <v>6873510.1597955003</v>
      </c>
    </row>
    <row r="298" spans="2:12" s="84" customFormat="1" x14ac:dyDescent="0.25">
      <c r="B298" s="90" t="s">
        <v>9</v>
      </c>
      <c r="C298" s="100">
        <f>'[4]T9 - Overzicht'!$B$20</f>
        <v>591673.22666666668</v>
      </c>
      <c r="D298" s="100">
        <v>0</v>
      </c>
      <c r="E298" s="100">
        <f>'[4]T9 - Overzicht'!$B$21</f>
        <v>50200.513333333336</v>
      </c>
      <c r="F298" s="101">
        <f t="shared" si="44"/>
        <v>641873.74</v>
      </c>
      <c r="G298" s="100">
        <f>'[4]T9 - Overzicht'!$B$36</f>
        <v>2928760.5001370003</v>
      </c>
      <c r="H298" s="100">
        <v>0</v>
      </c>
      <c r="I298" s="100">
        <v>0</v>
      </c>
      <c r="J298" s="101">
        <f t="shared" si="45"/>
        <v>0</v>
      </c>
      <c r="K298" s="101">
        <f>VLOOKUP(B298,[2]T15!$G$6:$K$15,5,0)</f>
        <v>0</v>
      </c>
      <c r="L298" s="101">
        <f t="shared" si="46"/>
        <v>3570634.2401370006</v>
      </c>
    </row>
    <row r="299" spans="2:12" s="84" customFormat="1" x14ac:dyDescent="0.25">
      <c r="B299" s="90" t="s">
        <v>10</v>
      </c>
      <c r="C299" s="100">
        <f>'[5]T9 - Overzicht'!$B$20</f>
        <v>241181.91333333342</v>
      </c>
      <c r="D299" s="100">
        <v>0</v>
      </c>
      <c r="E299" s="100">
        <f>'[5]T9 - Overzicht'!$B$21</f>
        <v>6660.22</v>
      </c>
      <c r="F299" s="101">
        <f t="shared" si="44"/>
        <v>247842.13333333342</v>
      </c>
      <c r="G299" s="100">
        <f>'[5]T9 - Overzicht'!$B$36</f>
        <v>1187370.7890400002</v>
      </c>
      <c r="H299" s="100">
        <v>0</v>
      </c>
      <c r="I299" s="100">
        <v>0</v>
      </c>
      <c r="J299" s="101">
        <f t="shared" si="45"/>
        <v>0</v>
      </c>
      <c r="K299" s="101">
        <f>VLOOKUP(B299,[2]T15!$G$6:$K$15,5,0)</f>
        <v>0</v>
      </c>
      <c r="L299" s="101">
        <f t="shared" si="46"/>
        <v>1435212.9223733335</v>
      </c>
    </row>
    <row r="300" spans="2:12" s="84" customFormat="1" x14ac:dyDescent="0.25">
      <c r="B300" s="90" t="s">
        <v>11</v>
      </c>
      <c r="C300" s="100">
        <f>'[6]T9 - Overzicht'!$B$20</f>
        <v>1089689.1133333333</v>
      </c>
      <c r="D300" s="100">
        <v>0</v>
      </c>
      <c r="E300" s="100">
        <f>'[6]T9 - Overzicht'!$B$21</f>
        <v>37364.94</v>
      </c>
      <c r="F300" s="101">
        <f t="shared" si="44"/>
        <v>1127054.0533333332</v>
      </c>
      <c r="G300" s="100">
        <f>'[6]T9 - Overzicht'!$B$36</f>
        <v>5595825.7006000001</v>
      </c>
      <c r="H300" s="100">
        <v>0</v>
      </c>
      <c r="I300" s="100">
        <v>0</v>
      </c>
      <c r="J300" s="101">
        <f t="shared" si="45"/>
        <v>0</v>
      </c>
      <c r="K300" s="101">
        <f>VLOOKUP(B300,[2]T15!$G$6:$K$15,5,0)</f>
        <v>0</v>
      </c>
      <c r="L300" s="101">
        <f t="shared" si="46"/>
        <v>6722879.7539333329</v>
      </c>
    </row>
    <row r="301" spans="2:12" s="84" customFormat="1" x14ac:dyDescent="0.25">
      <c r="B301" s="90" t="s">
        <v>12</v>
      </c>
      <c r="C301" s="100">
        <f>'[7]T9 - Overzicht'!$B$20</f>
        <v>644652.8833333333</v>
      </c>
      <c r="D301" s="100">
        <v>0</v>
      </c>
      <c r="E301" s="100">
        <f>'[7]T9 - Overzicht'!$B$21</f>
        <v>22823.50333333333</v>
      </c>
      <c r="F301" s="101">
        <f t="shared" si="44"/>
        <v>667476.3866666666</v>
      </c>
      <c r="G301" s="100">
        <f>'[7]T9 - Overzicht'!$B$36</f>
        <v>3310453.3398294998</v>
      </c>
      <c r="H301" s="100">
        <v>0</v>
      </c>
      <c r="I301" s="100">
        <v>0</v>
      </c>
      <c r="J301" s="101">
        <f t="shared" si="45"/>
        <v>0</v>
      </c>
      <c r="K301" s="101">
        <f>VLOOKUP(B301,[2]T15!$G$6:$K$15,5,0)</f>
        <v>0</v>
      </c>
      <c r="L301" s="101">
        <f t="shared" si="46"/>
        <v>3977929.7264961665</v>
      </c>
    </row>
    <row r="302" spans="2:12" s="84" customFormat="1" x14ac:dyDescent="0.25">
      <c r="B302" s="90" t="s">
        <v>13</v>
      </c>
      <c r="C302" s="100">
        <f>'[8]T9 - Overzicht'!$B$20</f>
        <v>438878.77333333337</v>
      </c>
      <c r="D302" s="100">
        <v>0</v>
      </c>
      <c r="E302" s="100">
        <f>'[8]T9 - Overzicht'!$B$21</f>
        <v>24476.02</v>
      </c>
      <c r="F302" s="101">
        <f t="shared" si="44"/>
        <v>463354.79333333339</v>
      </c>
      <c r="G302" s="100">
        <f>'[8]T9 - Overzicht'!$B$36</f>
        <v>2253752.1261519995</v>
      </c>
      <c r="H302" s="100">
        <v>0</v>
      </c>
      <c r="I302" s="100">
        <v>0</v>
      </c>
      <c r="J302" s="101">
        <f t="shared" si="45"/>
        <v>0</v>
      </c>
      <c r="K302" s="101">
        <f>VLOOKUP(B302,[2]T15!$G$6:$K$15,5,0)</f>
        <v>0</v>
      </c>
      <c r="L302" s="101">
        <f t="shared" si="46"/>
        <v>2717106.9194853329</v>
      </c>
    </row>
    <row r="303" spans="2:12" s="84" customFormat="1" x14ac:dyDescent="0.25">
      <c r="B303" s="90" t="s">
        <v>14</v>
      </c>
      <c r="C303" s="100">
        <f>'[9]T9 - Overzicht'!$B$20</f>
        <v>1002072.0033333335</v>
      </c>
      <c r="D303" s="100">
        <v>0</v>
      </c>
      <c r="E303" s="100">
        <f>'[9]T9 - Overzicht'!$B$21</f>
        <v>39315.973333333335</v>
      </c>
      <c r="F303" s="101">
        <f t="shared" si="44"/>
        <v>1041387.9766666669</v>
      </c>
      <c r="G303" s="100">
        <f>'[9]T9 - Overzicht'!$B$36</f>
        <v>5145890.1007225011</v>
      </c>
      <c r="H303" s="100">
        <v>0</v>
      </c>
      <c r="I303" s="100">
        <v>0</v>
      </c>
      <c r="J303" s="101">
        <f t="shared" si="45"/>
        <v>0</v>
      </c>
      <c r="K303" s="101">
        <f>VLOOKUP(B303,[2]T15!$G$6:$K$15,5,0)</f>
        <v>0</v>
      </c>
      <c r="L303" s="101">
        <f t="shared" si="46"/>
        <v>6187278.0773891676</v>
      </c>
    </row>
    <row r="304" spans="2:12" s="84" customFormat="1" x14ac:dyDescent="0.25">
      <c r="B304" s="90" t="s">
        <v>15</v>
      </c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</row>
    <row r="305" spans="2:12" s="84" customFormat="1" x14ac:dyDescent="0.25">
      <c r="B305" s="90" t="s">
        <v>16</v>
      </c>
      <c r="C305" s="100">
        <f>'[10]T9 - Overzicht'!$B$20</f>
        <v>194566.82999999996</v>
      </c>
      <c r="D305" s="100">
        <v>0</v>
      </c>
      <c r="E305" s="100">
        <f>'[10]T9 - Overzicht'!$B$21</f>
        <v>3671.5400000000004</v>
      </c>
      <c r="F305" s="101">
        <f>+C305+D305+E305</f>
        <v>198238.36999999997</v>
      </c>
      <c r="G305" s="100">
        <f>'[10]T9 - Overzicht'!$B$36</f>
        <v>999149.16330449993</v>
      </c>
      <c r="H305" s="100">
        <v>0</v>
      </c>
      <c r="I305" s="100">
        <v>0</v>
      </c>
      <c r="J305" s="101">
        <f t="shared" si="45"/>
        <v>0</v>
      </c>
      <c r="K305" s="101">
        <f>VLOOKUP(B305,[2]T15!$G$6:$K$15,5,0)</f>
        <v>0</v>
      </c>
      <c r="L305" s="101">
        <f t="shared" si="46"/>
        <v>1197387.5333044999</v>
      </c>
    </row>
    <row r="306" spans="2:12" s="84" customFormat="1" x14ac:dyDescent="0.25">
      <c r="F306" s="36">
        <f>SUM(F296:F305)</f>
        <v>6728317.3833333338</v>
      </c>
      <c r="G306" s="36">
        <f>SUM(G296:G305)</f>
        <v>33128615.603437997</v>
      </c>
      <c r="K306" s="36">
        <f>SUM(K296:K305)</f>
        <v>0</v>
      </c>
    </row>
    <row r="307" spans="2:12" s="84" customFormat="1" x14ac:dyDescent="0.25">
      <c r="B307" s="85" t="s">
        <v>135</v>
      </c>
    </row>
    <row r="308" spans="2:12" s="84" customFormat="1" ht="15.75" thickBot="1" x14ac:dyDescent="0.3"/>
    <row r="309" spans="2:12" s="84" customFormat="1" ht="18.75" thickBot="1" x14ac:dyDescent="0.3">
      <c r="B309" s="103"/>
      <c r="C309" s="91" t="s">
        <v>124</v>
      </c>
      <c r="D309" s="91" t="str">
        <f t="shared" ref="D309:D317" si="47">+L295</f>
        <v>Totaal aanvullend</v>
      </c>
      <c r="E309" s="104" t="s">
        <v>136</v>
      </c>
    </row>
    <row r="310" spans="2:12" s="84" customFormat="1" x14ac:dyDescent="0.25">
      <c r="B310" s="105" t="s">
        <v>7</v>
      </c>
      <c r="C310" s="106">
        <f>+I282</f>
        <v>70948591.683334932</v>
      </c>
      <c r="D310" s="107">
        <f t="shared" si="47"/>
        <v>7174993.653857003</v>
      </c>
      <c r="E310" s="108">
        <f>+D310+C310</f>
        <v>78123585.337191939</v>
      </c>
    </row>
    <row r="311" spans="2:12" s="84" customFormat="1" x14ac:dyDescent="0.25">
      <c r="B311" s="109" t="s">
        <v>8</v>
      </c>
      <c r="C311" s="106">
        <f t="shared" ref="C311:C319" si="48">+I283</f>
        <v>82677932.842081353</v>
      </c>
      <c r="D311" s="107">
        <f t="shared" si="47"/>
        <v>6873510.1597955003</v>
      </c>
      <c r="E311" s="110">
        <f t="shared" ref="E311:E319" si="49">+D311+C311</f>
        <v>89551443.001876861</v>
      </c>
    </row>
    <row r="312" spans="2:12" s="84" customFormat="1" x14ac:dyDescent="0.25">
      <c r="B312" s="109" t="s">
        <v>9</v>
      </c>
      <c r="C312" s="106">
        <f t="shared" si="48"/>
        <v>57243254.572540879</v>
      </c>
      <c r="D312" s="107">
        <f t="shared" si="47"/>
        <v>3570634.2401370006</v>
      </c>
      <c r="E312" s="110">
        <f t="shared" si="49"/>
        <v>60813888.812677883</v>
      </c>
    </row>
    <row r="313" spans="2:12" s="84" customFormat="1" x14ac:dyDescent="0.25">
      <c r="B313" s="109" t="s">
        <v>10</v>
      </c>
      <c r="C313" s="106">
        <f t="shared" si="48"/>
        <v>13075243.209633894</v>
      </c>
      <c r="D313" s="107">
        <f t="shared" si="47"/>
        <v>1435212.9223733335</v>
      </c>
      <c r="E313" s="110">
        <f t="shared" si="49"/>
        <v>14510456.132007228</v>
      </c>
    </row>
    <row r="314" spans="2:12" s="84" customFormat="1" x14ac:dyDescent="0.25">
      <c r="B314" s="109" t="s">
        <v>11</v>
      </c>
      <c r="C314" s="106">
        <f t="shared" si="48"/>
        <v>96636396.878392637</v>
      </c>
      <c r="D314" s="107">
        <f t="shared" si="47"/>
        <v>6722879.7539333329</v>
      </c>
      <c r="E314" s="110">
        <f t="shared" si="49"/>
        <v>103359276.63232598</v>
      </c>
    </row>
    <row r="315" spans="2:12" s="84" customFormat="1" x14ac:dyDescent="0.25">
      <c r="B315" s="109" t="s">
        <v>12</v>
      </c>
      <c r="C315" s="106">
        <f t="shared" si="48"/>
        <v>41351683.214070469</v>
      </c>
      <c r="D315" s="107">
        <f t="shared" si="47"/>
        <v>3977929.7264961665</v>
      </c>
      <c r="E315" s="110">
        <f t="shared" si="49"/>
        <v>45329612.940566637</v>
      </c>
    </row>
    <row r="316" spans="2:12" s="84" customFormat="1" x14ac:dyDescent="0.25">
      <c r="B316" s="109" t="s">
        <v>13</v>
      </c>
      <c r="C316" s="106">
        <f t="shared" si="48"/>
        <v>34092890.371594854</v>
      </c>
      <c r="D316" s="107">
        <f t="shared" si="47"/>
        <v>2717106.9194853329</v>
      </c>
      <c r="E316" s="110">
        <f t="shared" si="49"/>
        <v>36809997.291080184</v>
      </c>
    </row>
    <row r="317" spans="2:12" s="84" customFormat="1" x14ac:dyDescent="0.25">
      <c r="B317" s="109" t="s">
        <v>14</v>
      </c>
      <c r="C317" s="106">
        <f t="shared" si="48"/>
        <v>82930943.39377825</v>
      </c>
      <c r="D317" s="107">
        <f t="shared" si="47"/>
        <v>6187278.0773891676</v>
      </c>
      <c r="E317" s="110">
        <f t="shared" si="49"/>
        <v>89118221.471167415</v>
      </c>
    </row>
    <row r="318" spans="2:12" s="84" customFormat="1" x14ac:dyDescent="0.25">
      <c r="B318" s="109" t="s">
        <v>15</v>
      </c>
      <c r="C318" s="111"/>
      <c r="D318" s="112"/>
      <c r="E318" s="113"/>
    </row>
    <row r="319" spans="2:12" s="84" customFormat="1" ht="15.75" thickBot="1" x14ac:dyDescent="0.3">
      <c r="B319" s="114" t="s">
        <v>16</v>
      </c>
      <c r="C319" s="106">
        <f t="shared" si="48"/>
        <v>8821621.9432907961</v>
      </c>
      <c r="D319" s="107">
        <f>+L305</f>
        <v>1197387.5333044999</v>
      </c>
      <c r="E319" s="115">
        <f t="shared" si="49"/>
        <v>10019009.476595296</v>
      </c>
    </row>
    <row r="320" spans="2:12" x14ac:dyDescent="0.25">
      <c r="E320" s="36">
        <f>SUM(E310:E319)</f>
        <v>527635491.09548938</v>
      </c>
    </row>
  </sheetData>
  <mergeCells count="33">
    <mergeCell ref="D205:D214"/>
    <mergeCell ref="E205:E214"/>
    <mergeCell ref="F205:F214"/>
    <mergeCell ref="G205:G214"/>
    <mergeCell ref="C96:C105"/>
    <mergeCell ref="E96:E105"/>
    <mergeCell ref="F96:F105"/>
    <mergeCell ref="D179:D188"/>
    <mergeCell ref="E179:E188"/>
    <mergeCell ref="F179:F188"/>
    <mergeCell ref="G179:G188"/>
    <mergeCell ref="B191:J191"/>
    <mergeCell ref="H96:H105"/>
    <mergeCell ref="B108:J108"/>
    <mergeCell ref="D128:D137"/>
    <mergeCell ref="E128:E137"/>
    <mergeCell ref="F128:F137"/>
    <mergeCell ref="G128:G137"/>
    <mergeCell ref="B2:J3"/>
    <mergeCell ref="B7:J7"/>
    <mergeCell ref="C45:C54"/>
    <mergeCell ref="E45:E54"/>
    <mergeCell ref="F45:F54"/>
    <mergeCell ref="H45:H54"/>
    <mergeCell ref="D282:D291"/>
    <mergeCell ref="E282:E291"/>
    <mergeCell ref="F282:F291"/>
    <mergeCell ref="G282:G291"/>
    <mergeCell ref="D256:D265"/>
    <mergeCell ref="E256:E265"/>
    <mergeCell ref="F256:F265"/>
    <mergeCell ref="G256:G265"/>
    <mergeCell ref="B268:J268"/>
  </mergeCells>
  <hyperlinks>
    <hyperlink ref="E89" r:id="rId1" xr:uid="{885765D0-3766-46C5-A51D-6127979C199F}"/>
    <hyperlink ref="E115" r:id="rId2" xr:uid="{31CBBDCC-0217-467B-887B-5B9390850D1C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ENDO GAS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De Smit</dc:creator>
  <cp:lastModifiedBy>Jonas De Smit</cp:lastModifiedBy>
  <dcterms:created xsi:type="dcterms:W3CDTF">2022-10-06T04:40:24Z</dcterms:created>
  <dcterms:modified xsi:type="dcterms:W3CDTF">2023-10-06T08:15:59Z</dcterms:modified>
</cp:coreProperties>
</file>