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o365vreg-my.sharepoint.com/personal/fanny_schoevaerts_vreg_be/Documents/Desktop/NB van 28 juni 2021/"/>
    </mc:Choice>
  </mc:AlternateContent>
  <xr:revisionPtr revIDLastSave="0" documentId="8_{9780C455-E1EE-4166-8CCD-E700DD10B070}" xr6:coauthVersionLast="45" xr6:coauthVersionMax="45" xr10:uidLastSave="{00000000-0000-0000-0000-000000000000}"/>
  <workbookProtection workbookAlgorithmName="SHA-512" workbookHashValue="Hiy1D16ZoTDz2ZveROtLqz0sV/nsggdwjsWy2d2EvjNmEylTkKRnKhnI7MpucCfGIARfDPp2yf9yM5QE0Sn+1Q==" workbookSaltValue="R0ehyxzBvdZZzVvCVA6wGA==" workbookSpinCount="100000" lockStructure="1"/>
  <bookViews>
    <workbookView xWindow="-110" yWindow="-110" windowWidth="19420" windowHeight="10420" tabRatio="782" xr2:uid="{00000000-000D-0000-FFFF-FFFF00000000}"/>
  </bookViews>
  <sheets>
    <sheet name="TITELBLAD" sheetId="4" r:id="rId1"/>
    <sheet name="--&gt; ELEKTRICITEIT" sheetId="39" r:id="rId2"/>
    <sheet name="ASSUMPTIES" sheetId="37" r:id="rId3"/>
    <sheet name="VERDEELSLEUTELS" sheetId="27" r:id="rId4"/>
    <sheet name="REKENVOLUMES" sheetId="29" r:id="rId5"/>
    <sheet name="MAXIMUM" sheetId="31" r:id="rId6"/>
    <sheet name="Max Afname TRHS" sheetId="32" r:id="rId7"/>
    <sheet name="Max Afname MS" sheetId="41" r:id="rId8"/>
    <sheet name="Max Afname TRLS" sheetId="42" r:id="rId9"/>
    <sheet name="Max Afname LS" sheetId="43" r:id="rId10"/>
    <sheet name="Max Injectie" sheetId="44" r:id="rId11"/>
    <sheet name="T1" sheetId="6" r:id="rId12"/>
    <sheet name="T2" sheetId="26" r:id="rId13"/>
    <sheet name="T3" sheetId="28" r:id="rId14"/>
    <sheet name="T4" sheetId="38" r:id="rId15"/>
    <sheet name="--&gt; AARDGAS" sheetId="45" r:id="rId16"/>
    <sheet name="T5" sheetId="47" r:id="rId17"/>
    <sheet name="T6" sheetId="46" r:id="rId18"/>
    <sheet name="T7" sheetId="58" r:id="rId19"/>
    <sheet name="T8" sheetId="48" r:id="rId20"/>
    <sheet name="--&gt; TARIEFLIJSTEN" sheetId="49" r:id="rId21"/>
    <sheet name="ELEK Afname" sheetId="57" r:id="rId22"/>
    <sheet name="ELEK Afname Trans HS" sheetId="50" r:id="rId23"/>
    <sheet name="ELEK Afname &gt;26-36 kV" sheetId="51" r:id="rId24"/>
    <sheet name="ELEK Afname 26-1 kV" sheetId="52" r:id="rId25"/>
    <sheet name="ELEK Afname Trans LS" sheetId="53" r:id="rId26"/>
    <sheet name="ELEK Afname LS" sheetId="54" r:id="rId27"/>
    <sheet name="ELEK Afname Doorvoer" sheetId="55" r:id="rId28"/>
    <sheet name="ELEK Injectie" sheetId="56" r:id="rId29"/>
    <sheet name="GAS Afname" sheetId="60" r:id="rId30"/>
    <sheet name="GAS Injectie" sheetId="61" r:id="rId31"/>
    <sheet name="Werkblad" sheetId="62" r:id="rId32"/>
  </sheets>
  <definedNames>
    <definedName name="_xlnm._FilterDatabase" localSheetId="9" hidden="1">'Max Afname LS'!$A$18:$T$18</definedName>
    <definedName name="_xlnm._FilterDatabase" localSheetId="7" hidden="1">'Max Afname MS'!$A$19:$AA$19</definedName>
    <definedName name="_xlnm._FilterDatabase" localSheetId="6" hidden="1">'Max Afname TRHS'!$A$19:$AA$19</definedName>
    <definedName name="_xlnm._FilterDatabase" localSheetId="8" hidden="1">'Max Afname TRLS'!$A$19:$AA$19</definedName>
    <definedName name="_xlnm._FilterDatabase" localSheetId="10" hidden="1">'Max Injectie'!$A$13:$J$13</definedName>
    <definedName name="_ftnref3" localSheetId="0">TITELBLAD!$A$93</definedName>
    <definedName name="_xlnm.Print_Area" localSheetId="16">'T5'!$A$1:$J$28</definedName>
    <definedName name="_xlnm.Print_Area" localSheetId="17">'T6'!$A$1:$R$35</definedName>
    <definedName name="_xlnm.Print_Area" localSheetId="19">'T8'!$C$1:$AN$22</definedName>
    <definedName name="_xlnm.Print_Area" localSheetId="0">TITELBLAD!$A$1:$M$174</definedName>
    <definedName name="AS2DocOpenMode" hidden="1">"AS2DocumentEdit"</definedName>
    <definedName name="B2020_ODV_TRHS">ASSUMPTIES!$E$37</definedName>
    <definedName name="B2020_TOE_TRHS">ASSUMPTIES!$E$38</definedName>
    <definedName name="BEGINJAAR">TITELBLAD!$I$9</definedName>
    <definedName name="CPI_2020">ASSUMPTIES!$E$32</definedName>
    <definedName name="CPI_JAARMIN1">ASSUMPTIES!$E$31</definedName>
    <definedName name="DIM_OMV">ASSUMPTIES!$E$54</definedName>
    <definedName name="DNB">TITELBLAD!$F$6</definedName>
    <definedName name="EINDJAAR">TITELBLAD!$I$10</definedName>
    <definedName name="FACTOR_DOORVOER">ASSUMPTIES!$E$60</definedName>
    <definedName name="FACTOR_MP_TV">ASSUMPTIES!$E$13</definedName>
    <definedName name="FACTOR_OST">ASSUMPTIES!$E$15</definedName>
    <definedName name="FACTOR_VAST">ASSUMPTIES!$E$21</definedName>
    <definedName name="JAAR">TITELBLAD!$I$12</definedName>
    <definedName name="Keuze_Kostenindeling1">'T2'!$C$8:$C$9</definedName>
    <definedName name="Keuze_Kostenindeling2">'T2'!$D$8:$D$62</definedName>
    <definedName name="Keuze_Kostenindeling3">'T2'!$E$8:$E$9</definedName>
    <definedName name="Keuze_Kostenindeling4">'T2'!$F$8:$F$9</definedName>
    <definedName name="Keuze_Subactiviteit">'T2'!$A$8:$A$9</definedName>
    <definedName name="Keuze_TariefcomponentN">'T2'!$B$8:$B$15</definedName>
    <definedName name="KORTING_XN">ASSUMPTIES!$E$40</definedName>
    <definedName name="MAXTOENAME_TRHS">ASSUMPTIES!$E$36</definedName>
    <definedName name="OMVORMERVERMOGEN">ASSUMPTIES!$E$53</definedName>
    <definedName name="ONDERNEMINGSNUMMER">TITELBLAD!$F$7</definedName>
    <definedName name="PROCENT_GEMMP">ASSUMPTIES!$E$18</definedName>
    <definedName name="PROCENT_KWH">ASSUMPTIES!$E$19</definedName>
    <definedName name="PROCENT_MP">ASSUMPTIES!$E$12</definedName>
    <definedName name="PROCENT_TV">ASSUMPTIES!$E$11</definedName>
    <definedName name="PROCENT_VERHOGING_NA_MAX">MAXIMUM!$G$34</definedName>
    <definedName name="SAPBEXrevision" localSheetId="29" hidden="1">23</definedName>
    <definedName name="SAPBEXrevision" localSheetId="30" hidden="1">23</definedName>
    <definedName name="SAPBEXrevision" localSheetId="16" hidden="1">23</definedName>
    <definedName name="SAPBEXrevision" localSheetId="17" hidden="1">23</definedName>
    <definedName name="SAPBEXrevision" hidden="1">10</definedName>
    <definedName name="SAPBEXsysID" hidden="1">"BP1"</definedName>
    <definedName name="SAPBEXwbID" localSheetId="29" hidden="1">"3OXN00JDSWKKLN5ZRDB3JJU3L"</definedName>
    <definedName name="SAPBEXwbID" localSheetId="30" hidden="1">"3OXN00JDSWKKLN5ZRDB3JJU3L"</definedName>
    <definedName name="SAPBEXwbID" localSheetId="16" hidden="1">"3OXN00JDSWKKLN5ZRDB3JJU3L"</definedName>
    <definedName name="SAPBEXwbID" localSheetId="17" hidden="1">"3OXN00JDSWKKLN5ZRDB3JJU3L"</definedName>
    <definedName name="SAPBEXwbID" hidden="1">"4751QXOCD67AJ09JC6QHJDZY6"</definedName>
    <definedName name="TAR_DATA_LSMR1_2021">ASSUMPTIES!$E$28</definedName>
    <definedName name="TAR_DATA_LSMR3_2021">ASSUMPTIES!$E$27</definedName>
    <definedName name="TAR_DATA_NIETLS_2021">ASSUMPTIES!$E$26</definedName>
    <definedName name="TAR_DATA_PROD_2021">ASSUMPTIES!$E$29</definedName>
    <definedName name="TAR_ODV_GSC">ASSUMPTIES!$E$45</definedName>
    <definedName name="TAR_ODV_HEWKK">ASSUMPTIES!$E$47</definedName>
    <definedName name="TAR_ODV_REG">ASSUMPTIES!$E$48</definedName>
    <definedName name="TAR_ODV_RESERVE">ASSUMPTIES!$E$46</definedName>
    <definedName name="TAR_ODV_WIND">ASSUMPTIES!$E$44</definedName>
    <definedName name="TAR_TOE_MASTEN">ASSUMPTIES!$E$49</definedName>
    <definedName name="VOLLASTUREN">ASSUMPTIES!$E$55</definedName>
    <definedName name="ZELFCONSUMPTIE">ASSUMPTIES!$E$56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56" l="1"/>
  <c r="C10" i="56"/>
  <c r="D58" i="55"/>
  <c r="D57" i="55"/>
  <c r="D53" i="55"/>
  <c r="D51" i="55"/>
  <c r="D48" i="55"/>
  <c r="D45" i="55"/>
  <c r="D55" i="55" s="1"/>
  <c r="D40" i="55"/>
  <c r="D24" i="55"/>
  <c r="D44" i="55"/>
  <c r="D38" i="55"/>
  <c r="D36" i="55"/>
  <c r="D33" i="55"/>
  <c r="D30" i="55"/>
  <c r="D28" i="55"/>
  <c r="D29" i="55" s="1"/>
  <c r="D22" i="55"/>
  <c r="D20" i="55"/>
  <c r="D18" i="55"/>
  <c r="D15" i="55"/>
  <c r="D11" i="55"/>
  <c r="D10" i="55"/>
  <c r="D9" i="55"/>
  <c r="D8" i="55" s="1"/>
  <c r="D9" i="54"/>
  <c r="D68" i="54"/>
  <c r="D66" i="54"/>
  <c r="D65" i="54"/>
  <c r="D63" i="54" s="1"/>
  <c r="D61" i="54"/>
  <c r="D59" i="54"/>
  <c r="D58" i="54"/>
  <c r="D55" i="54"/>
  <c r="D52" i="54"/>
  <c r="D51" i="54"/>
  <c r="D47" i="54"/>
  <c r="D46" i="54"/>
  <c r="D44" i="54" s="1"/>
  <c r="D42" i="54"/>
  <c r="D40" i="54"/>
  <c r="D39" i="54"/>
  <c r="D36" i="54"/>
  <c r="D33" i="54"/>
  <c r="D32" i="54"/>
  <c r="D26" i="54"/>
  <c r="D25" i="54"/>
  <c r="D23" i="54" s="1"/>
  <c r="D21" i="54"/>
  <c r="D19" i="54"/>
  <c r="D18" i="54"/>
  <c r="D15" i="54"/>
  <c r="D14" i="54"/>
  <c r="D13" i="54"/>
  <c r="D10" i="54"/>
  <c r="D8" i="54"/>
  <c r="D8" i="53" l="1"/>
  <c r="D29" i="53"/>
  <c r="D28" i="53"/>
  <c r="D26" i="53" s="1"/>
  <c r="D24" i="53"/>
  <c r="D22" i="53"/>
  <c r="D21" i="53"/>
  <c r="D18" i="53"/>
  <c r="D15" i="53"/>
  <c r="D11" i="53"/>
  <c r="D10" i="53"/>
  <c r="D9" i="53"/>
  <c r="D7" i="52"/>
  <c r="D26" i="52"/>
  <c r="D25" i="52"/>
  <c r="D23" i="52" s="1"/>
  <c r="D21" i="52"/>
  <c r="D19" i="52"/>
  <c r="D17" i="52"/>
  <c r="D14" i="52"/>
  <c r="D10" i="52"/>
  <c r="D9" i="52"/>
  <c r="D8" i="52"/>
  <c r="G8" i="51"/>
  <c r="D8" i="51"/>
  <c r="G27" i="51"/>
  <c r="G26" i="51"/>
  <c r="G24" i="51" s="1"/>
  <c r="G22" i="51"/>
  <c r="G20" i="51"/>
  <c r="G18" i="51"/>
  <c r="G15" i="51"/>
  <c r="G11" i="51"/>
  <c r="G10" i="51"/>
  <c r="G9" i="51"/>
  <c r="D27" i="51"/>
  <c r="D26" i="51"/>
  <c r="D24" i="51" s="1"/>
  <c r="D22" i="51"/>
  <c r="D20" i="51"/>
  <c r="D18" i="51"/>
  <c r="D15" i="51"/>
  <c r="D11" i="51"/>
  <c r="D10" i="51"/>
  <c r="D9" i="51"/>
  <c r="D26" i="50"/>
  <c r="D25" i="50"/>
  <c r="D23" i="50" s="1"/>
  <c r="D21" i="50"/>
  <c r="D19" i="50"/>
  <c r="D17" i="50"/>
  <c r="D14" i="50"/>
  <c r="D8" i="50"/>
  <c r="D7" i="50" s="1"/>
  <c r="D10" i="50"/>
  <c r="D9" i="50"/>
  <c r="O14" i="57"/>
  <c r="F8" i="57"/>
  <c r="H8" i="57"/>
  <c r="M8" i="57"/>
  <c r="K8" i="57"/>
  <c r="I8" i="57"/>
  <c r="Q40" i="57"/>
  <c r="Q38" i="57"/>
  <c r="Q37" i="57"/>
  <c r="Q35" i="57" s="1"/>
  <c r="Q33" i="57"/>
  <c r="Q31" i="57"/>
  <c r="Q30" i="57"/>
  <c r="Q27" i="57"/>
  <c r="Q18" i="57"/>
  <c r="Q17" i="57"/>
  <c r="P38" i="57"/>
  <c r="P37" i="57"/>
  <c r="P35" i="57" s="1"/>
  <c r="P33" i="57"/>
  <c r="P31" i="57"/>
  <c r="P30" i="57"/>
  <c r="P17" i="57"/>
  <c r="P27" i="57"/>
  <c r="P18" i="57"/>
  <c r="O38" i="57"/>
  <c r="O37" i="57"/>
  <c r="O35" i="57" s="1"/>
  <c r="O33" i="57"/>
  <c r="O31" i="57"/>
  <c r="O30" i="57"/>
  <c r="O27" i="57"/>
  <c r="O26" i="57"/>
  <c r="O25" i="57"/>
  <c r="O15" i="57"/>
  <c r="O13" i="57"/>
  <c r="M38" i="57"/>
  <c r="M37" i="57"/>
  <c r="M35" i="57" s="1"/>
  <c r="M33" i="57"/>
  <c r="M31" i="57"/>
  <c r="M30" i="57"/>
  <c r="M25" i="57"/>
  <c r="M22" i="57"/>
  <c r="M11" i="57"/>
  <c r="M10" i="57"/>
  <c r="M9" i="57"/>
  <c r="K38" i="57"/>
  <c r="K37" i="57"/>
  <c r="K35" i="57"/>
  <c r="K33" i="57"/>
  <c r="K30" i="57"/>
  <c r="K25" i="57"/>
  <c r="K22" i="57"/>
  <c r="K11" i="57"/>
  <c r="K10" i="57"/>
  <c r="K9" i="57"/>
  <c r="I38" i="57"/>
  <c r="I37" i="57"/>
  <c r="I35" i="57" s="1"/>
  <c r="I33" i="57"/>
  <c r="I25" i="57"/>
  <c r="I30" i="57"/>
  <c r="I22" i="57"/>
  <c r="I11" i="57"/>
  <c r="I10" i="57"/>
  <c r="I9" i="57"/>
  <c r="H38" i="57"/>
  <c r="H37" i="57"/>
  <c r="H35" i="57" s="1"/>
  <c r="H33" i="57"/>
  <c r="H30" i="57"/>
  <c r="H25" i="57"/>
  <c r="H22" i="57"/>
  <c r="H11" i="57"/>
  <c r="H10" i="57"/>
  <c r="H9" i="57"/>
  <c r="F42" i="57"/>
  <c r="F38" i="57"/>
  <c r="F37" i="57"/>
  <c r="F35" i="57" s="1"/>
  <c r="F33" i="57"/>
  <c r="F30" i="57"/>
  <c r="F25" i="57"/>
  <c r="F22" i="57"/>
  <c r="F11" i="57"/>
  <c r="F10" i="57"/>
  <c r="F9" i="57"/>
  <c r="O33" i="38" l="1"/>
  <c r="Q28" i="38"/>
  <c r="L35" i="28"/>
  <c r="O26" i="28"/>
  <c r="F20" i="31"/>
  <c r="F47" i="27"/>
  <c r="S19" i="29"/>
  <c r="S29" i="29" s="1"/>
  <c r="R28" i="29"/>
  <c r="E46" i="27"/>
  <c r="R39" i="41"/>
  <c r="W38" i="41"/>
  <c r="W37" i="41"/>
  <c r="W36" i="41"/>
  <c r="W35" i="41"/>
  <c r="W34" i="41"/>
  <c r="W33" i="41"/>
  <c r="W32" i="41"/>
  <c r="W31" i="41"/>
  <c r="W30" i="41"/>
  <c r="W29" i="41"/>
  <c r="W28" i="41"/>
  <c r="W27" i="41"/>
  <c r="W26" i="41"/>
  <c r="W25" i="41"/>
  <c r="W24" i="41"/>
  <c r="W23" i="41"/>
  <c r="W22" i="41"/>
  <c r="W21" i="41"/>
  <c r="W20" i="41"/>
  <c r="Q37" i="43"/>
  <c r="Q36" i="43"/>
  <c r="Q35" i="43"/>
  <c r="Q34" i="43"/>
  <c r="Q33" i="43"/>
  <c r="Q32" i="43"/>
  <c r="Q31" i="43"/>
  <c r="Q30" i="43"/>
  <c r="Q29" i="43"/>
  <c r="Q28" i="43"/>
  <c r="Q27" i="43"/>
  <c r="Q26" i="43"/>
  <c r="Q25" i="43"/>
  <c r="Q24" i="43"/>
  <c r="Q23" i="43"/>
  <c r="Q22" i="43"/>
  <c r="Q21" i="43"/>
  <c r="Q20" i="43"/>
  <c r="Q19" i="43"/>
  <c r="Z20" i="41"/>
  <c r="Z38" i="41"/>
  <c r="Z22" i="41"/>
  <c r="Z23" i="41"/>
  <c r="Z24" i="41"/>
  <c r="Z25" i="41"/>
  <c r="Z26" i="41"/>
  <c r="Z27" i="41"/>
  <c r="Z28" i="41"/>
  <c r="Z29" i="41"/>
  <c r="Z30" i="41"/>
  <c r="Z31" i="41"/>
  <c r="Z32" i="41"/>
  <c r="Z33" i="41"/>
  <c r="Z34" i="41"/>
  <c r="Z35" i="41"/>
  <c r="Z36" i="41"/>
  <c r="Z37" i="41"/>
  <c r="Z21" i="41"/>
  <c r="F17" i="31"/>
  <c r="H54" i="27"/>
  <c r="H53" i="27"/>
  <c r="H52" i="27"/>
  <c r="H51" i="27"/>
  <c r="G54" i="27"/>
  <c r="G53" i="27"/>
  <c r="G52" i="27"/>
  <c r="G51" i="27"/>
  <c r="E40" i="37"/>
  <c r="S28" i="29" l="1"/>
  <c r="L15" i="6"/>
  <c r="L14" i="6"/>
  <c r="L13" i="6"/>
  <c r="L12" i="6"/>
  <c r="L11" i="6"/>
  <c r="L10" i="6"/>
  <c r="L16" i="6" s="1"/>
  <c r="O42" i="57" l="1"/>
  <c r="M42" i="57"/>
  <c r="K42" i="57"/>
  <c r="I42" i="57"/>
  <c r="H42" i="57"/>
  <c r="E37" i="48" l="1"/>
  <c r="E36" i="48"/>
  <c r="E30" i="48"/>
  <c r="E26" i="48"/>
  <c r="F17" i="47"/>
  <c r="D19" i="47"/>
  <c r="K99" i="26"/>
  <c r="K98" i="26"/>
  <c r="K97" i="26"/>
  <c r="K96" i="26"/>
  <c r="K95" i="26"/>
  <c r="K94" i="26"/>
  <c r="K93" i="26"/>
  <c r="J37" i="44"/>
  <c r="J36" i="44"/>
  <c r="J35" i="44"/>
  <c r="J34" i="44"/>
  <c r="J33" i="44"/>
  <c r="I14" i="44"/>
  <c r="G21" i="44"/>
  <c r="G14" i="44"/>
  <c r="D38" i="44"/>
  <c r="D37" i="44"/>
  <c r="D36" i="44"/>
  <c r="D35" i="44"/>
  <c r="D34" i="44"/>
  <c r="D33" i="44"/>
  <c r="C38" i="44"/>
  <c r="C37" i="44"/>
  <c r="C36" i="44"/>
  <c r="C35" i="44"/>
  <c r="C34" i="44"/>
  <c r="C33" i="44"/>
  <c r="T38" i="43"/>
  <c r="K38" i="43"/>
  <c r="AA39" i="42"/>
  <c r="X39" i="42"/>
  <c r="W39" i="42"/>
  <c r="V39" i="42"/>
  <c r="T39" i="42"/>
  <c r="S39" i="42"/>
  <c r="R39" i="42"/>
  <c r="Q39" i="42"/>
  <c r="P39" i="42"/>
  <c r="O39" i="42"/>
  <c r="W20" i="42"/>
  <c r="W38" i="42"/>
  <c r="O41" i="41"/>
  <c r="O39" i="41"/>
  <c r="P41" i="41"/>
  <c r="P40" i="41"/>
  <c r="P39" i="41"/>
  <c r="Q41" i="41"/>
  <c r="Q40" i="41"/>
  <c r="Q39" i="41"/>
  <c r="R41" i="41"/>
  <c r="R40" i="41"/>
  <c r="S41" i="41"/>
  <c r="S40" i="41"/>
  <c r="S39" i="41"/>
  <c r="T41" i="41"/>
  <c r="T40" i="41"/>
  <c r="T39" i="41"/>
  <c r="U41" i="41"/>
  <c r="U40" i="41"/>
  <c r="U39" i="41"/>
  <c r="V41" i="41"/>
  <c r="V40" i="41"/>
  <c r="V39" i="41"/>
  <c r="W41" i="41"/>
  <c r="W40" i="41"/>
  <c r="W39" i="41"/>
  <c r="W42" i="41"/>
  <c r="AA41" i="41"/>
  <c r="AA40" i="41"/>
  <c r="AA39" i="41"/>
  <c r="AA40" i="32"/>
  <c r="AA39" i="32"/>
  <c r="X40" i="32"/>
  <c r="X39" i="32"/>
  <c r="W40" i="32"/>
  <c r="W39" i="32"/>
  <c r="V40" i="32"/>
  <c r="V39" i="32"/>
  <c r="U40" i="32"/>
  <c r="U39" i="32"/>
  <c r="T40" i="32"/>
  <c r="T39" i="32"/>
  <c r="S40" i="32"/>
  <c r="S39" i="32"/>
  <c r="R40" i="32"/>
  <c r="R39" i="32"/>
  <c r="Q40" i="32"/>
  <c r="Q39" i="32"/>
  <c r="P40" i="32"/>
  <c r="P39" i="32"/>
  <c r="O40" i="32"/>
  <c r="O39" i="32"/>
  <c r="M41" i="32"/>
  <c r="L41" i="32"/>
  <c r="K41" i="32"/>
  <c r="J41" i="32"/>
  <c r="I41" i="32"/>
  <c r="H41" i="32"/>
  <c r="G41" i="32"/>
  <c r="F41" i="32"/>
  <c r="E41" i="32"/>
  <c r="M40" i="32"/>
  <c r="M39" i="32"/>
  <c r="L40" i="32"/>
  <c r="L39" i="32"/>
  <c r="K40" i="32"/>
  <c r="K39" i="32"/>
  <c r="J40" i="32"/>
  <c r="J39" i="32"/>
  <c r="I40" i="32"/>
  <c r="I39" i="32"/>
  <c r="H40" i="32"/>
  <c r="H39" i="32"/>
  <c r="G40" i="32"/>
  <c r="G39" i="32"/>
  <c r="F40" i="32"/>
  <c r="F39" i="32"/>
  <c r="E40" i="32"/>
  <c r="E39" i="32"/>
  <c r="Z38" i="32"/>
  <c r="Z20" i="32"/>
  <c r="W38" i="32"/>
  <c r="W20" i="32"/>
  <c r="W41" i="32" s="1"/>
  <c r="Q16" i="32"/>
  <c r="F15" i="31"/>
  <c r="F14" i="31"/>
  <c r="F11" i="31"/>
  <c r="F9" i="31"/>
  <c r="O29" i="29"/>
  <c r="M29" i="29"/>
  <c r="M28" i="29"/>
  <c r="K29" i="29"/>
  <c r="K28" i="29"/>
  <c r="J29" i="29"/>
  <c r="J28" i="29"/>
  <c r="I29" i="29"/>
  <c r="I28" i="29"/>
  <c r="G29" i="29"/>
  <c r="G28" i="29"/>
  <c r="E28" i="29" s="1"/>
  <c r="F29" i="29"/>
  <c r="F28" i="29"/>
  <c r="L29" i="29"/>
  <c r="L28" i="29"/>
  <c r="T22" i="29"/>
  <c r="T14" i="29"/>
  <c r="L24" i="29"/>
  <c r="L23" i="29"/>
  <c r="L15" i="29"/>
  <c r="L8" i="29"/>
  <c r="H8" i="29"/>
  <c r="D22" i="29"/>
  <c r="D14" i="29"/>
  <c r="E24" i="29"/>
  <c r="E23" i="29"/>
  <c r="E19" i="29"/>
  <c r="E17" i="29"/>
  <c r="E16" i="29"/>
  <c r="E15" i="29"/>
  <c r="E10" i="29"/>
  <c r="E9" i="29"/>
  <c r="E8" i="29"/>
  <c r="A1" i="61"/>
  <c r="H28" i="29" l="1"/>
  <c r="E29" i="29"/>
  <c r="H29" i="29"/>
  <c r="Z20" i="42" l="1"/>
  <c r="Z37" i="32"/>
  <c r="Z36" i="32"/>
  <c r="Z35" i="32"/>
  <c r="Z34" i="32"/>
  <c r="Z33" i="32"/>
  <c r="Z32" i="32"/>
  <c r="Z31" i="32"/>
  <c r="Z30" i="32"/>
  <c r="Z29" i="32"/>
  <c r="Z28" i="32"/>
  <c r="Z27" i="32"/>
  <c r="Z26" i="32"/>
  <c r="Z25" i="32"/>
  <c r="Z24" i="32"/>
  <c r="Z23" i="32"/>
  <c r="Z22" i="32"/>
  <c r="Z21" i="32"/>
  <c r="Q48" i="28" l="1"/>
  <c r="Q50" i="28" s="1"/>
  <c r="Q52" i="28" s="1"/>
  <c r="Q54" i="28" s="1"/>
  <c r="R34" i="28"/>
  <c r="W34" i="28" s="1"/>
  <c r="W21" i="38" s="1"/>
  <c r="W36" i="38" s="1"/>
  <c r="L33" i="28"/>
  <c r="O33" i="28" s="1"/>
  <c r="L32" i="28"/>
  <c r="L19" i="38" s="1"/>
  <c r="L31" i="28"/>
  <c r="L18" i="38" s="1"/>
  <c r="L29" i="28"/>
  <c r="L30" i="28"/>
  <c r="J30" i="28"/>
  <c r="J29" i="28"/>
  <c r="F30" i="28"/>
  <c r="F29" i="28"/>
  <c r="C30" i="28"/>
  <c r="C29" i="28"/>
  <c r="B15" i="28"/>
  <c r="B14" i="28"/>
  <c r="B8" i="28"/>
  <c r="Q54" i="26"/>
  <c r="L89" i="26"/>
  <c r="Q56" i="26"/>
  <c r="R56" i="26"/>
  <c r="P33" i="28" l="1"/>
  <c r="P20" i="38" s="1"/>
  <c r="M29" i="28"/>
  <c r="L16" i="38"/>
  <c r="M30" i="28"/>
  <c r="N30" i="28" s="1"/>
  <c r="L17" i="38"/>
  <c r="T34" i="28"/>
  <c r="T21" i="38" s="1"/>
  <c r="T36" i="38" s="1"/>
  <c r="U34" i="28"/>
  <c r="U21" i="38" s="1"/>
  <c r="U36" i="38" s="1"/>
  <c r="L20" i="38"/>
  <c r="M31" i="28"/>
  <c r="G8" i="44"/>
  <c r="V34" i="28"/>
  <c r="V21" i="38" s="1"/>
  <c r="V36" i="38" s="1"/>
  <c r="R21" i="38"/>
  <c r="S34" i="28"/>
  <c r="S21" i="38" s="1"/>
  <c r="S36" i="38" s="1"/>
  <c r="R36" i="38" s="1"/>
  <c r="M32" i="28"/>
  <c r="P36" i="38" l="1"/>
  <c r="N29" i="28"/>
  <c r="M16" i="38"/>
  <c r="Q57" i="26"/>
  <c r="R57" i="26"/>
  <c r="K21" i="27" l="1"/>
  <c r="H12" i="27"/>
  <c r="G12" i="27"/>
  <c r="N37" i="27"/>
  <c r="M37" i="27"/>
  <c r="L37" i="27"/>
  <c r="K37" i="27"/>
  <c r="G11" i="27"/>
  <c r="H11" i="27"/>
  <c r="H9" i="27"/>
  <c r="G9" i="27"/>
  <c r="O28" i="29"/>
  <c r="N36" i="27"/>
  <c r="N35" i="27"/>
  <c r="M36" i="27"/>
  <c r="M35" i="27"/>
  <c r="L36" i="27"/>
  <c r="L35" i="27"/>
  <c r="K36" i="27"/>
  <c r="K35" i="27"/>
  <c r="H25" i="27"/>
  <c r="G25" i="27"/>
  <c r="I26" i="27"/>
  <c r="H26" i="27"/>
  <c r="I25" i="27"/>
  <c r="H21" i="29"/>
  <c r="F10" i="27"/>
  <c r="S8" i="26" l="1"/>
  <c r="L56" i="26"/>
  <c r="M56" i="26" s="1"/>
  <c r="L35" i="26"/>
  <c r="M35" i="26" s="1"/>
  <c r="L74" i="26"/>
  <c r="L73" i="26"/>
  <c r="L57" i="26"/>
  <c r="M57" i="26" s="1"/>
  <c r="L9" i="26"/>
  <c r="L8" i="26"/>
  <c r="S56" i="26"/>
  <c r="S73" i="26"/>
  <c r="S74" i="26"/>
  <c r="S35" i="26"/>
  <c r="S57" i="26"/>
  <c r="N57" i="26" l="1"/>
  <c r="S94" i="26"/>
  <c r="S93" i="26"/>
  <c r="P56" i="26"/>
  <c r="O56" i="26"/>
  <c r="P57" i="26"/>
  <c r="F10" i="6"/>
  <c r="L94" i="26"/>
  <c r="O57" i="26"/>
  <c r="N56" i="26"/>
  <c r="P28" i="29"/>
  <c r="Q28" i="29"/>
  <c r="N28" i="29" l="1"/>
  <c r="E47" i="27"/>
  <c r="L9" i="29" l="1"/>
  <c r="L10" i="29"/>
  <c r="L16" i="29"/>
  <c r="L17" i="29"/>
  <c r="L19" i="29"/>
  <c r="L20" i="29"/>
  <c r="L21" i="29"/>
  <c r="H10" i="29"/>
  <c r="R29" i="29" l="1"/>
  <c r="Q29" i="29"/>
  <c r="P29" i="29"/>
  <c r="N29" i="29" s="1"/>
  <c r="H27" i="27" l="1"/>
  <c r="A1" i="60" l="1"/>
  <c r="A1" i="56"/>
  <c r="A1" i="55"/>
  <c r="A1" i="54"/>
  <c r="A1" i="53"/>
  <c r="A1" i="52"/>
  <c r="A1" i="51"/>
  <c r="B1" i="50"/>
  <c r="A1" i="57"/>
  <c r="D4" i="47"/>
  <c r="D4" i="46"/>
  <c r="D4" i="48"/>
  <c r="D4" i="58"/>
  <c r="J24" i="47" l="1"/>
  <c r="H24" i="47"/>
  <c r="I24" i="47" s="1"/>
  <c r="F24" i="47"/>
  <c r="D24" i="47"/>
  <c r="J23" i="47"/>
  <c r="H23" i="47"/>
  <c r="K23" i="47" s="1"/>
  <c r="F23" i="47"/>
  <c r="D23" i="47"/>
  <c r="J19" i="47"/>
  <c r="H19" i="47"/>
  <c r="I19" i="47" s="1"/>
  <c r="F19" i="47"/>
  <c r="G19" i="47" s="1"/>
  <c r="J17" i="47"/>
  <c r="H17" i="47"/>
  <c r="I17" i="47" s="1"/>
  <c r="D17" i="47"/>
  <c r="G17" i="47" s="1"/>
  <c r="J15" i="47"/>
  <c r="H15" i="47"/>
  <c r="K15" i="47" s="1"/>
  <c r="F15" i="47"/>
  <c r="D15" i="47"/>
  <c r="J13" i="47"/>
  <c r="H13" i="47"/>
  <c r="F13" i="47"/>
  <c r="G13" i="47" s="1"/>
  <c r="D13" i="47"/>
  <c r="E13" i="47" s="1"/>
  <c r="H12" i="6"/>
  <c r="H11" i="6"/>
  <c r="F14" i="6"/>
  <c r="D12" i="6"/>
  <c r="D11" i="6"/>
  <c r="J14" i="6"/>
  <c r="A1" i="6"/>
  <c r="K24" i="47" l="1"/>
  <c r="L23" i="47"/>
  <c r="L24" i="47"/>
  <c r="I23" i="47"/>
  <c r="K17" i="47"/>
  <c r="L15" i="47"/>
  <c r="I15" i="47"/>
  <c r="K13" i="47"/>
  <c r="G24" i="47"/>
  <c r="G23" i="47"/>
  <c r="E19" i="47"/>
  <c r="G15" i="47"/>
  <c r="L13" i="47"/>
  <c r="E15" i="47"/>
  <c r="E23" i="47"/>
  <c r="I13" i="47"/>
  <c r="K19" i="47"/>
  <c r="E17" i="47"/>
  <c r="E24" i="47"/>
  <c r="L17" i="47"/>
  <c r="L19" i="47"/>
  <c r="D16" i="48"/>
  <c r="D15" i="48"/>
  <c r="D14" i="48"/>
  <c r="D13" i="48"/>
  <c r="D12" i="48"/>
  <c r="D11" i="48"/>
  <c r="D10" i="48"/>
  <c r="J37" i="48"/>
  <c r="J36" i="48"/>
  <c r="I37" i="48"/>
  <c r="I36" i="48"/>
  <c r="H37" i="48"/>
  <c r="H36" i="48"/>
  <c r="G37" i="48"/>
  <c r="G36" i="48"/>
  <c r="D36" i="48" s="1"/>
  <c r="F37" i="48"/>
  <c r="F36" i="48"/>
  <c r="G32" i="48"/>
  <c r="F32" i="48"/>
  <c r="E32" i="48"/>
  <c r="D32" i="48" s="1"/>
  <c r="M30" i="48"/>
  <c r="J30" i="48"/>
  <c r="I30" i="48"/>
  <c r="H30" i="48"/>
  <c r="G30" i="48"/>
  <c r="F30" i="48"/>
  <c r="M28" i="48"/>
  <c r="D28" i="48" s="1"/>
  <c r="L26" i="48"/>
  <c r="L39" i="48" s="1"/>
  <c r="K26" i="48"/>
  <c r="K39" i="48" s="1"/>
  <c r="J26" i="48"/>
  <c r="I26" i="48"/>
  <c r="I39" i="48" s="1"/>
  <c r="H26" i="48"/>
  <c r="H39" i="48" s="1"/>
  <c r="G26" i="48"/>
  <c r="F26" i="48"/>
  <c r="D11" i="61"/>
  <c r="D8" i="61"/>
  <c r="I36" i="60"/>
  <c r="H36" i="60"/>
  <c r="G36" i="60"/>
  <c r="F36" i="60"/>
  <c r="E36" i="60"/>
  <c r="D36" i="60"/>
  <c r="I34" i="60"/>
  <c r="H34" i="60"/>
  <c r="G34" i="60"/>
  <c r="F34" i="60"/>
  <c r="E34" i="60"/>
  <c r="D34" i="60"/>
  <c r="F24" i="60"/>
  <c r="E24" i="60"/>
  <c r="D24" i="60"/>
  <c r="D22" i="60"/>
  <c r="D21" i="60"/>
  <c r="H20" i="60"/>
  <c r="I15" i="60"/>
  <c r="H15" i="60"/>
  <c r="K14" i="60"/>
  <c r="J14" i="60"/>
  <c r="I14" i="60"/>
  <c r="H14" i="60"/>
  <c r="G14" i="60"/>
  <c r="F14" i="60"/>
  <c r="E14" i="60"/>
  <c r="D14" i="60"/>
  <c r="G13" i="60"/>
  <c r="F13" i="60"/>
  <c r="E13" i="60"/>
  <c r="D13" i="60"/>
  <c r="D37" i="48" l="1"/>
  <c r="J39" i="48"/>
  <c r="G39" i="48"/>
  <c r="D30" i="48"/>
  <c r="D26" i="48"/>
  <c r="D39" i="48" s="1"/>
  <c r="E39" i="48"/>
  <c r="M39" i="48"/>
  <c r="F39" i="48"/>
  <c r="C7" i="56"/>
  <c r="D28" i="54" l="1"/>
  <c r="D31" i="53"/>
  <c r="D28" i="52"/>
  <c r="G29" i="51"/>
  <c r="D29" i="51"/>
  <c r="D28" i="50"/>
  <c r="D12" i="46"/>
  <c r="E12" i="46"/>
  <c r="G12" i="46"/>
  <c r="H12" i="46"/>
  <c r="J12" i="46"/>
  <c r="J27" i="46" s="1"/>
  <c r="K12" i="46"/>
  <c r="M12" i="46"/>
  <c r="N12" i="46"/>
  <c r="N27" i="46" s="1"/>
  <c r="P12" i="46"/>
  <c r="H11" i="47" s="1"/>
  <c r="Q12" i="46"/>
  <c r="F14" i="46"/>
  <c r="I14" i="46"/>
  <c r="L14" i="46"/>
  <c r="O14" i="46"/>
  <c r="R14" i="46"/>
  <c r="F16" i="46"/>
  <c r="I16" i="46"/>
  <c r="L16" i="46"/>
  <c r="O16" i="46"/>
  <c r="R16" i="46"/>
  <c r="F18" i="46"/>
  <c r="I18" i="46"/>
  <c r="L18" i="46"/>
  <c r="O18" i="46"/>
  <c r="R18" i="46"/>
  <c r="F20" i="46"/>
  <c r="I20" i="46"/>
  <c r="L20" i="46"/>
  <c r="O20" i="46"/>
  <c r="R20" i="46"/>
  <c r="D22" i="46"/>
  <c r="E22" i="46"/>
  <c r="G22" i="46"/>
  <c r="G27" i="46" s="1"/>
  <c r="H22" i="46"/>
  <c r="J22" i="46"/>
  <c r="K22" i="46"/>
  <c r="L22" i="46"/>
  <c r="M22" i="46"/>
  <c r="O22" i="46" s="1"/>
  <c r="N22" i="46"/>
  <c r="P22" i="46"/>
  <c r="H21" i="47" s="1"/>
  <c r="Q22" i="46"/>
  <c r="F24" i="46"/>
  <c r="I24" i="46"/>
  <c r="L24" i="46"/>
  <c r="O24" i="46"/>
  <c r="R24" i="46"/>
  <c r="F25" i="46"/>
  <c r="I25" i="46"/>
  <c r="L25" i="46"/>
  <c r="O25" i="46"/>
  <c r="R25" i="46"/>
  <c r="E27" i="46" l="1"/>
  <c r="F12" i="46"/>
  <c r="R12" i="46"/>
  <c r="J11" i="47"/>
  <c r="K11" i="47" s="1"/>
  <c r="Q27" i="46"/>
  <c r="J21" i="47"/>
  <c r="I21" i="47" s="1"/>
  <c r="F11" i="47"/>
  <c r="H26" i="47"/>
  <c r="K27" i="46"/>
  <c r="F21" i="47"/>
  <c r="D11" i="47"/>
  <c r="D21" i="47"/>
  <c r="I12" i="46"/>
  <c r="R22" i="46"/>
  <c r="L12" i="46"/>
  <c r="M27" i="46"/>
  <c r="O27" i="46" s="1"/>
  <c r="F22" i="46"/>
  <c r="O12" i="46"/>
  <c r="L27" i="46"/>
  <c r="I22" i="46"/>
  <c r="P27" i="46"/>
  <c r="H27" i="46"/>
  <c r="D27" i="46"/>
  <c r="E21" i="47" l="1"/>
  <c r="D26" i="47"/>
  <c r="L21" i="47"/>
  <c r="J26" i="47"/>
  <c r="K26" i="47" s="1"/>
  <c r="K21" i="47"/>
  <c r="L11" i="47"/>
  <c r="E11" i="47"/>
  <c r="G21" i="47"/>
  <c r="F26" i="47"/>
  <c r="G11" i="47"/>
  <c r="R27" i="46"/>
  <c r="I11" i="47"/>
  <c r="F27" i="46"/>
  <c r="I27" i="46"/>
  <c r="I26" i="47" l="1"/>
  <c r="L26" i="47"/>
  <c r="G26" i="47"/>
  <c r="E26" i="47"/>
  <c r="Q13" i="43"/>
  <c r="Q12" i="43"/>
  <c r="Q11" i="43"/>
  <c r="Q10" i="43"/>
  <c r="E39" i="42" l="1"/>
  <c r="E41" i="41"/>
  <c r="E40" i="41"/>
  <c r="E39" i="41"/>
  <c r="E39" i="43"/>
  <c r="E38" i="43"/>
  <c r="I39" i="43"/>
  <c r="H39" i="43"/>
  <c r="G39" i="43"/>
  <c r="F39" i="43"/>
  <c r="I38" i="43"/>
  <c r="H38" i="43"/>
  <c r="G38" i="43"/>
  <c r="F38" i="43"/>
  <c r="M39" i="42"/>
  <c r="L39" i="42"/>
  <c r="K39" i="42"/>
  <c r="J39" i="42"/>
  <c r="I39" i="42"/>
  <c r="H39" i="42"/>
  <c r="G39" i="42"/>
  <c r="F39" i="42"/>
  <c r="M41" i="41"/>
  <c r="L41" i="41"/>
  <c r="K41" i="41"/>
  <c r="J41" i="41"/>
  <c r="I41" i="41"/>
  <c r="H41" i="41"/>
  <c r="G41" i="41"/>
  <c r="F41" i="41"/>
  <c r="M40" i="41"/>
  <c r="L40" i="41"/>
  <c r="K40" i="41"/>
  <c r="J40" i="41"/>
  <c r="I40" i="41"/>
  <c r="H40" i="41"/>
  <c r="G40" i="41"/>
  <c r="F40" i="41"/>
  <c r="M39" i="41"/>
  <c r="L39" i="41"/>
  <c r="K39" i="41"/>
  <c r="J39" i="41"/>
  <c r="I39" i="41"/>
  <c r="H39" i="41"/>
  <c r="G39" i="41"/>
  <c r="F39" i="41"/>
  <c r="G36" i="44"/>
  <c r="F36" i="44"/>
  <c r="G35" i="44"/>
  <c r="F35" i="44"/>
  <c r="G34" i="44"/>
  <c r="F34" i="44"/>
  <c r="I32" i="44"/>
  <c r="I31" i="44"/>
  <c r="I30" i="44"/>
  <c r="I29" i="44"/>
  <c r="I28" i="44"/>
  <c r="I27" i="44"/>
  <c r="I26" i="44"/>
  <c r="I25" i="44"/>
  <c r="I24" i="44"/>
  <c r="I23" i="44"/>
  <c r="I22" i="44"/>
  <c r="I21" i="44"/>
  <c r="I20" i="44"/>
  <c r="I19" i="44"/>
  <c r="I18" i="44"/>
  <c r="I17" i="44"/>
  <c r="I16" i="44"/>
  <c r="I15" i="44"/>
  <c r="G32" i="44"/>
  <c r="G31" i="44"/>
  <c r="G30" i="44"/>
  <c r="G29" i="44"/>
  <c r="G28" i="44"/>
  <c r="G27" i="44"/>
  <c r="G26" i="44"/>
  <c r="G25" i="44"/>
  <c r="G24" i="44"/>
  <c r="G23" i="44"/>
  <c r="G22" i="44"/>
  <c r="G20" i="44"/>
  <c r="G19" i="44"/>
  <c r="G18" i="44"/>
  <c r="G17" i="44"/>
  <c r="G16" i="44"/>
  <c r="G15" i="44"/>
  <c r="G38" i="44"/>
  <c r="G37" i="44"/>
  <c r="F37" i="44"/>
  <c r="G33" i="44"/>
  <c r="F33" i="44"/>
  <c r="D4" i="44"/>
  <c r="Z38" i="42"/>
  <c r="Z37" i="42"/>
  <c r="Z36" i="42"/>
  <c r="Z35" i="42"/>
  <c r="Z34" i="42"/>
  <c r="Z33" i="42"/>
  <c r="Z32" i="42"/>
  <c r="Z31" i="42"/>
  <c r="Z30" i="42"/>
  <c r="Z29" i="42"/>
  <c r="Z28" i="42"/>
  <c r="Z27" i="42"/>
  <c r="Z26" i="42"/>
  <c r="Z25" i="42"/>
  <c r="Z24" i="42"/>
  <c r="Z23" i="42"/>
  <c r="Z22" i="42"/>
  <c r="Z21" i="42"/>
  <c r="Q40" i="43"/>
  <c r="Q39" i="43"/>
  <c r="X40" i="41"/>
  <c r="O40" i="41"/>
  <c r="I40" i="43"/>
  <c r="H40" i="43"/>
  <c r="G40" i="43"/>
  <c r="F40" i="43"/>
  <c r="E40" i="43"/>
  <c r="Q38" i="43"/>
  <c r="P38" i="43"/>
  <c r="N38" i="43"/>
  <c r="M38" i="43"/>
  <c r="L38" i="43"/>
  <c r="L15" i="43"/>
  <c r="D4" i="43"/>
  <c r="W13" i="42"/>
  <c r="W12" i="42"/>
  <c r="M40" i="42"/>
  <c r="L40" i="42"/>
  <c r="K40" i="42"/>
  <c r="J40" i="42"/>
  <c r="I40" i="42"/>
  <c r="H40" i="42"/>
  <c r="G40" i="42"/>
  <c r="F40" i="42"/>
  <c r="E40" i="42"/>
  <c r="W37" i="42"/>
  <c r="W36" i="42"/>
  <c r="W35" i="42"/>
  <c r="W34" i="42"/>
  <c r="W33" i="42"/>
  <c r="W32" i="42"/>
  <c r="W31" i="42"/>
  <c r="W30" i="42"/>
  <c r="W29" i="42"/>
  <c r="W28" i="42"/>
  <c r="W27" i="42"/>
  <c r="W26" i="42"/>
  <c r="W25" i="42"/>
  <c r="W24" i="42"/>
  <c r="W23" i="42"/>
  <c r="W22" i="42"/>
  <c r="W21" i="42"/>
  <c r="W40" i="42"/>
  <c r="Q16" i="42"/>
  <c r="D4" i="42"/>
  <c r="E42" i="41"/>
  <c r="M42" i="41"/>
  <c r="L42" i="41"/>
  <c r="K42" i="41"/>
  <c r="J42" i="41"/>
  <c r="I42" i="41"/>
  <c r="H42" i="41"/>
  <c r="G42" i="41"/>
  <c r="F42" i="41"/>
  <c r="D4" i="32"/>
  <c r="D4" i="41"/>
  <c r="W13" i="41"/>
  <c r="W12" i="41"/>
  <c r="W13" i="32"/>
  <c r="W12" i="32"/>
  <c r="X41" i="41"/>
  <c r="X39" i="41"/>
  <c r="Q16" i="41"/>
  <c r="W37" i="32"/>
  <c r="W36" i="32"/>
  <c r="W35" i="32"/>
  <c r="W34" i="32"/>
  <c r="W33" i="32"/>
  <c r="W32" i="32"/>
  <c r="W31" i="32"/>
  <c r="W30" i="32"/>
  <c r="W29" i="32"/>
  <c r="W28" i="32"/>
  <c r="W27" i="32"/>
  <c r="W26" i="32"/>
  <c r="W25" i="32"/>
  <c r="W24" i="32"/>
  <c r="W23" i="32"/>
  <c r="W22" i="32"/>
  <c r="W21" i="32"/>
  <c r="S11" i="32"/>
  <c r="E16" i="31"/>
  <c r="R8" i="38" l="1"/>
  <c r="S8" i="38"/>
  <c r="U8" i="38"/>
  <c r="V8" i="38"/>
  <c r="W8" i="38"/>
  <c r="R9" i="38"/>
  <c r="S9" i="38"/>
  <c r="U9" i="38"/>
  <c r="V9" i="38"/>
  <c r="W9" i="38"/>
  <c r="R10" i="38"/>
  <c r="S10" i="38"/>
  <c r="U10" i="38"/>
  <c r="V10" i="38"/>
  <c r="W10" i="38"/>
  <c r="R11" i="38"/>
  <c r="S11" i="38"/>
  <c r="U11" i="38"/>
  <c r="V11" i="38"/>
  <c r="W11" i="38"/>
  <c r="R12" i="38"/>
  <c r="S12" i="38"/>
  <c r="U12" i="38"/>
  <c r="V12" i="38"/>
  <c r="W12" i="38"/>
  <c r="R13" i="38"/>
  <c r="S13" i="38"/>
  <c r="U13" i="38"/>
  <c r="V13" i="38"/>
  <c r="W13" i="38"/>
  <c r="R15" i="38"/>
  <c r="S15" i="38"/>
  <c r="U15" i="38"/>
  <c r="V15" i="38"/>
  <c r="W15" i="38"/>
  <c r="F16" i="38"/>
  <c r="J16" i="38"/>
  <c r="R16" i="38"/>
  <c r="S16" i="38"/>
  <c r="U16" i="38"/>
  <c r="V16" i="38"/>
  <c r="W16" i="38"/>
  <c r="F17" i="38"/>
  <c r="J17" i="38"/>
  <c r="M17" i="38"/>
  <c r="M18" i="38"/>
  <c r="M19" i="38"/>
  <c r="O20" i="38"/>
  <c r="R28" i="38"/>
  <c r="S28" i="38"/>
  <c r="U28" i="38"/>
  <c r="V28" i="38"/>
  <c r="W28" i="38"/>
  <c r="C17" i="38"/>
  <c r="C16" i="38"/>
  <c r="O36" i="38" l="1"/>
  <c r="M36" i="38"/>
  <c r="L36" i="38" s="1"/>
  <c r="T21" i="28"/>
  <c r="T8" i="38" s="1"/>
  <c r="T22" i="28"/>
  <c r="T9" i="38" s="1"/>
  <c r="T23" i="28"/>
  <c r="T10" i="38" s="1"/>
  <c r="T24" i="28"/>
  <c r="T11" i="38" s="1"/>
  <c r="T25" i="28"/>
  <c r="T12" i="38" s="1"/>
  <c r="T26" i="28"/>
  <c r="T13" i="38" s="1"/>
  <c r="T28" i="28"/>
  <c r="T15" i="38" s="1"/>
  <c r="T29" i="28"/>
  <c r="T16" i="38" s="1"/>
  <c r="T41" i="28"/>
  <c r="T28" i="38" s="1"/>
  <c r="N16" i="38"/>
  <c r="N17" i="38"/>
  <c r="D29" i="28"/>
  <c r="D16" i="38" s="1"/>
  <c r="D30" i="28"/>
  <c r="D17" i="38" s="1"/>
  <c r="E30" i="28"/>
  <c r="E17" i="38" s="1"/>
  <c r="K29" i="28"/>
  <c r="K16" i="38" s="1"/>
  <c r="K30" i="28"/>
  <c r="K17" i="38" s="1"/>
  <c r="G29" i="28"/>
  <c r="G16" i="38" s="1"/>
  <c r="G30" i="28"/>
  <c r="G17" i="38" s="1"/>
  <c r="H29" i="28"/>
  <c r="H16" i="38" s="1"/>
  <c r="H30" i="28"/>
  <c r="H17" i="38" s="1"/>
  <c r="I29" i="28"/>
  <c r="I16" i="38" s="1"/>
  <c r="I30" i="28"/>
  <c r="I17" i="38" s="1"/>
  <c r="R86" i="26"/>
  <c r="R87" i="26"/>
  <c r="R88" i="26"/>
  <c r="R89" i="26"/>
  <c r="R90" i="26"/>
  <c r="Q86" i="26"/>
  <c r="Q87" i="26"/>
  <c r="Q88" i="26"/>
  <c r="Q89" i="26"/>
  <c r="Q90" i="26"/>
  <c r="P86" i="26"/>
  <c r="P87" i="26"/>
  <c r="P88" i="26"/>
  <c r="P89" i="26"/>
  <c r="P90" i="26"/>
  <c r="O86" i="26"/>
  <c r="O87" i="26"/>
  <c r="O88" i="26"/>
  <c r="O89" i="26"/>
  <c r="O90" i="26"/>
  <c r="N86" i="26"/>
  <c r="N87" i="26"/>
  <c r="N88" i="26"/>
  <c r="N89" i="26"/>
  <c r="N90" i="26"/>
  <c r="M86" i="26"/>
  <c r="M87" i="26"/>
  <c r="M88" i="26"/>
  <c r="M89" i="26"/>
  <c r="M90" i="26"/>
  <c r="S90" i="26"/>
  <c r="S58" i="26"/>
  <c r="I10" i="28" s="1"/>
  <c r="S59" i="26"/>
  <c r="S86" i="26"/>
  <c r="S87" i="26"/>
  <c r="S88" i="26"/>
  <c r="S89" i="26"/>
  <c r="L90" i="26"/>
  <c r="L58" i="26"/>
  <c r="P58" i="26" s="1"/>
  <c r="R58" i="26" s="1"/>
  <c r="L59" i="26"/>
  <c r="O59" i="26" s="1"/>
  <c r="L33" i="26"/>
  <c r="O33" i="26" s="1"/>
  <c r="L86" i="26"/>
  <c r="L87" i="26"/>
  <c r="L88" i="26"/>
  <c r="E4" i="38"/>
  <c r="E4" i="28"/>
  <c r="E4" i="26"/>
  <c r="E4" i="6"/>
  <c r="E4" i="31"/>
  <c r="D4" i="27"/>
  <c r="D4" i="29"/>
  <c r="E20" i="29"/>
  <c r="H20" i="29"/>
  <c r="K24" i="27"/>
  <c r="K40" i="27"/>
  <c r="H13" i="27"/>
  <c r="L38" i="27"/>
  <c r="K38" i="27"/>
  <c r="N40" i="27"/>
  <c r="M40" i="27"/>
  <c r="L40" i="27"/>
  <c r="N39" i="27"/>
  <c r="M39" i="27"/>
  <c r="L39" i="27"/>
  <c r="K39" i="27"/>
  <c r="N38" i="27"/>
  <c r="M38" i="27"/>
  <c r="N32" i="27"/>
  <c r="N24" i="27"/>
  <c r="N23" i="27"/>
  <c r="N22" i="27"/>
  <c r="P8" i="26" s="1"/>
  <c r="P93" i="26" s="1"/>
  <c r="N21" i="27"/>
  <c r="P35" i="26" s="1"/>
  <c r="M32" i="27"/>
  <c r="M24" i="27"/>
  <c r="M23" i="27"/>
  <c r="M22" i="27"/>
  <c r="O8" i="26" s="1"/>
  <c r="O94" i="26" s="1"/>
  <c r="M21" i="27"/>
  <c r="O35" i="26" s="1"/>
  <c r="L32" i="27"/>
  <c r="L24" i="27"/>
  <c r="L23" i="27"/>
  <c r="L22" i="27"/>
  <c r="N8" i="26" s="1"/>
  <c r="N94" i="26" s="1"/>
  <c r="L21" i="27"/>
  <c r="N35" i="26" s="1"/>
  <c r="K32" i="27"/>
  <c r="K23" i="27"/>
  <c r="K22" i="27"/>
  <c r="M8" i="26" s="1"/>
  <c r="S9" i="26"/>
  <c r="H14" i="27"/>
  <c r="H15" i="27"/>
  <c r="L15" i="26"/>
  <c r="G13" i="27"/>
  <c r="G14" i="27"/>
  <c r="G15" i="27"/>
  <c r="B31" i="37"/>
  <c r="P94" i="26" l="1"/>
  <c r="C8" i="28"/>
  <c r="M94" i="26"/>
  <c r="N58" i="26"/>
  <c r="M59" i="26"/>
  <c r="N59" i="26"/>
  <c r="O58" i="26"/>
  <c r="I36" i="38"/>
  <c r="G36" i="38"/>
  <c r="F36" i="38" s="1"/>
  <c r="D36" i="38"/>
  <c r="C36" i="38" s="1"/>
  <c r="M58" i="26"/>
  <c r="C10" i="28" s="1"/>
  <c r="P59" i="26"/>
  <c r="Q59" i="26" s="1"/>
  <c r="H36" i="38"/>
  <c r="K36" i="38"/>
  <c r="J36" i="38" s="1"/>
  <c r="N36" i="38"/>
  <c r="Q58" i="26"/>
  <c r="L20" i="26"/>
  <c r="L52" i="26"/>
  <c r="L51" i="26"/>
  <c r="L75" i="26"/>
  <c r="F15" i="6" s="1"/>
  <c r="L55" i="26"/>
  <c r="L60" i="26"/>
  <c r="F12" i="6" s="1"/>
  <c r="E12" i="6" s="1"/>
  <c r="L45" i="26"/>
  <c r="S21" i="26"/>
  <c r="S51" i="26"/>
  <c r="S52" i="26"/>
  <c r="S45" i="26"/>
  <c r="S60" i="26"/>
  <c r="J12" i="6" s="1"/>
  <c r="S55" i="26"/>
  <c r="S75" i="26"/>
  <c r="J15" i="6" s="1"/>
  <c r="I27" i="27"/>
  <c r="R54" i="26"/>
  <c r="L27" i="26"/>
  <c r="N27" i="26" s="1"/>
  <c r="L16" i="26"/>
  <c r="M16" i="26" s="1"/>
  <c r="P33" i="26"/>
  <c r="L24" i="26"/>
  <c r="N24" i="26" s="1"/>
  <c r="L13" i="26"/>
  <c r="O13" i="26" s="1"/>
  <c r="S33" i="26"/>
  <c r="N33" i="26"/>
  <c r="L25" i="26"/>
  <c r="N25" i="26" s="1"/>
  <c r="L29" i="26"/>
  <c r="O29" i="26" s="1"/>
  <c r="L32" i="26"/>
  <c r="N32" i="26" s="1"/>
  <c r="L11" i="26"/>
  <c r="O11" i="26" s="1"/>
  <c r="M33" i="26"/>
  <c r="L67" i="26"/>
  <c r="L21" i="26"/>
  <c r="L71" i="26"/>
  <c r="L47" i="26"/>
  <c r="L39" i="26"/>
  <c r="S68" i="26"/>
  <c r="S63" i="26"/>
  <c r="S61" i="26"/>
  <c r="S71" i="26"/>
  <c r="S34" i="26"/>
  <c r="S78" i="26"/>
  <c r="S47" i="26"/>
  <c r="S44" i="26"/>
  <c r="S39" i="26"/>
  <c r="S25" i="26"/>
  <c r="S27" i="26"/>
  <c r="S29" i="26"/>
  <c r="S18" i="26"/>
  <c r="S10" i="26"/>
  <c r="S12" i="26"/>
  <c r="S14" i="26"/>
  <c r="L72" i="26"/>
  <c r="L62" i="26"/>
  <c r="N62" i="26" s="1"/>
  <c r="L43" i="26"/>
  <c r="L40" i="26"/>
  <c r="L68" i="26"/>
  <c r="L61" i="26"/>
  <c r="L78" i="26"/>
  <c r="L44" i="26"/>
  <c r="L54" i="26"/>
  <c r="L49" i="26"/>
  <c r="L48" i="26"/>
  <c r="L66" i="26"/>
  <c r="L76" i="26"/>
  <c r="L38" i="26"/>
  <c r="O38" i="26" s="1"/>
  <c r="L53" i="26"/>
  <c r="L41" i="26"/>
  <c r="L26" i="26"/>
  <c r="O26" i="26" s="1"/>
  <c r="L28" i="26"/>
  <c r="O28" i="26" s="1"/>
  <c r="L30" i="26"/>
  <c r="O30" i="26" s="1"/>
  <c r="L19" i="26"/>
  <c r="L17" i="26"/>
  <c r="M17" i="26" s="1"/>
  <c r="M9" i="26"/>
  <c r="S54" i="26"/>
  <c r="S49" i="26"/>
  <c r="S48" i="26"/>
  <c r="S66" i="26"/>
  <c r="S76" i="26"/>
  <c r="S38" i="26"/>
  <c r="S53" i="26"/>
  <c r="S41" i="26"/>
  <c r="S26" i="26"/>
  <c r="S28" i="26"/>
  <c r="S30" i="26"/>
  <c r="S19" i="26"/>
  <c r="S11" i="26"/>
  <c r="S13" i="26"/>
  <c r="S15" i="26"/>
  <c r="L69" i="26"/>
  <c r="L37" i="26"/>
  <c r="L63" i="26"/>
  <c r="L34" i="26"/>
  <c r="L18" i="26"/>
  <c r="L85" i="26"/>
  <c r="L50" i="26"/>
  <c r="L64" i="26"/>
  <c r="L70" i="26"/>
  <c r="L65" i="26"/>
  <c r="L77" i="26"/>
  <c r="L36" i="26"/>
  <c r="N36" i="26" s="1"/>
  <c r="L31" i="26"/>
  <c r="P31" i="26" s="1"/>
  <c r="L23" i="26"/>
  <c r="P23" i="26" s="1"/>
  <c r="L46" i="26"/>
  <c r="L10" i="26"/>
  <c r="N10" i="26" s="1"/>
  <c r="L12" i="26"/>
  <c r="N12" i="26" s="1"/>
  <c r="L14" i="26"/>
  <c r="M14" i="26" s="1"/>
  <c r="S85" i="26"/>
  <c r="S50" i="26"/>
  <c r="S64" i="26"/>
  <c r="S70" i="26"/>
  <c r="S65" i="26"/>
  <c r="S77" i="26"/>
  <c r="S36" i="26"/>
  <c r="S31" i="26"/>
  <c r="S23" i="26"/>
  <c r="S46" i="26"/>
  <c r="S20" i="26"/>
  <c r="S16" i="26"/>
  <c r="S72" i="26"/>
  <c r="S67" i="26"/>
  <c r="S62" i="26"/>
  <c r="S69" i="26"/>
  <c r="S37" i="26"/>
  <c r="S43" i="26"/>
  <c r="S40" i="26"/>
  <c r="S32" i="26"/>
  <c r="S24" i="26"/>
  <c r="S17" i="26"/>
  <c r="E29" i="28"/>
  <c r="E16" i="38" s="1"/>
  <c r="E36" i="38" s="1"/>
  <c r="N15" i="26"/>
  <c r="M15" i="26"/>
  <c r="P15" i="26"/>
  <c r="O15" i="26"/>
  <c r="E4" i="37"/>
  <c r="C16" i="28" l="1"/>
  <c r="B9" i="31" s="1"/>
  <c r="B20" i="31" s="1"/>
  <c r="C9" i="31"/>
  <c r="C20" i="31" s="1"/>
  <c r="J11" i="6"/>
  <c r="I11" i="6" s="1"/>
  <c r="F11" i="6"/>
  <c r="E11" i="6" s="1"/>
  <c r="S99" i="26"/>
  <c r="N34" i="26"/>
  <c r="N99" i="26" s="1"/>
  <c r="L99" i="26"/>
  <c r="B36" i="38"/>
  <c r="R59" i="26"/>
  <c r="L93" i="26"/>
  <c r="M25" i="26"/>
  <c r="M11" i="26"/>
  <c r="O25" i="26"/>
  <c r="P29" i="26"/>
  <c r="O27" i="26"/>
  <c r="H10" i="6"/>
  <c r="M32" i="26"/>
  <c r="M13" i="26"/>
  <c r="N13" i="26"/>
  <c r="G12" i="6"/>
  <c r="P13" i="26"/>
  <c r="P27" i="26"/>
  <c r="N29" i="26"/>
  <c r="L98" i="26"/>
  <c r="M29" i="26"/>
  <c r="P11" i="26"/>
  <c r="P25" i="26"/>
  <c r="D13" i="6"/>
  <c r="S98" i="26"/>
  <c r="P37" i="26"/>
  <c r="D10" i="6"/>
  <c r="P61" i="26"/>
  <c r="F13" i="6"/>
  <c r="J13" i="6"/>
  <c r="D14" i="6"/>
  <c r="H14" i="6"/>
  <c r="F16" i="6"/>
  <c r="J10" i="6"/>
  <c r="M27" i="26"/>
  <c r="H13" i="6"/>
  <c r="K12" i="6"/>
  <c r="I12" i="6"/>
  <c r="M37" i="26"/>
  <c r="O32" i="26"/>
  <c r="P32" i="26"/>
  <c r="S97" i="26"/>
  <c r="L97" i="26"/>
  <c r="M38" i="26"/>
  <c r="N9" i="26"/>
  <c r="P28" i="26"/>
  <c r="P9" i="26"/>
  <c r="P26" i="26"/>
  <c r="N17" i="26"/>
  <c r="P17" i="26"/>
  <c r="N26" i="26"/>
  <c r="O16" i="26"/>
  <c r="L95" i="26"/>
  <c r="N93" i="26"/>
  <c r="H28" i="27" s="1"/>
  <c r="L28" i="27" s="1"/>
  <c r="N47" i="26" s="1"/>
  <c r="M10" i="26"/>
  <c r="N38" i="26"/>
  <c r="P36" i="26"/>
  <c r="M93" i="26"/>
  <c r="P10" i="26"/>
  <c r="P38" i="26"/>
  <c r="N16" i="26"/>
  <c r="M28" i="26"/>
  <c r="P16" i="26"/>
  <c r="O10" i="26"/>
  <c r="O9" i="26"/>
  <c r="O93" i="26"/>
  <c r="N28" i="26"/>
  <c r="O54" i="26"/>
  <c r="N54" i="26"/>
  <c r="M54" i="26"/>
  <c r="C9" i="28" s="1"/>
  <c r="C28" i="28" s="1"/>
  <c r="P54" i="26"/>
  <c r="M24" i="26"/>
  <c r="P24" i="26"/>
  <c r="O24" i="26"/>
  <c r="N11" i="26"/>
  <c r="N14" i="26"/>
  <c r="O14" i="26"/>
  <c r="N23" i="26"/>
  <c r="M61" i="26"/>
  <c r="M36" i="26"/>
  <c r="S96" i="26"/>
  <c r="P14" i="26"/>
  <c r="N37" i="26"/>
  <c r="O37" i="26"/>
  <c r="O36" i="26"/>
  <c r="S95" i="26"/>
  <c r="O23" i="26"/>
  <c r="N61" i="26"/>
  <c r="M23" i="26"/>
  <c r="O61" i="26"/>
  <c r="P12" i="26"/>
  <c r="M31" i="26"/>
  <c r="O12" i="26"/>
  <c r="M34" i="26"/>
  <c r="M99" i="26" s="1"/>
  <c r="O34" i="26"/>
  <c r="O99" i="26" s="1"/>
  <c r="N31" i="26"/>
  <c r="P34" i="26"/>
  <c r="O31" i="26"/>
  <c r="M12" i="26"/>
  <c r="M62" i="26"/>
  <c r="O62" i="26"/>
  <c r="P30" i="26"/>
  <c r="P62" i="26"/>
  <c r="N30" i="26"/>
  <c r="M30" i="26"/>
  <c r="L96" i="26"/>
  <c r="O17" i="26"/>
  <c r="M26" i="26"/>
  <c r="H9" i="29"/>
  <c r="H15" i="29"/>
  <c r="D15" i="29" s="1"/>
  <c r="H16" i="29"/>
  <c r="D16" i="29" s="1"/>
  <c r="H17" i="29"/>
  <c r="D17" i="29" s="1"/>
  <c r="H19" i="29"/>
  <c r="H23" i="29"/>
  <c r="D23" i="29" s="1"/>
  <c r="H24" i="29"/>
  <c r="D24" i="29" s="1"/>
  <c r="G27" i="27"/>
  <c r="K11" i="6" l="1"/>
  <c r="G9" i="31"/>
  <c r="B27" i="31"/>
  <c r="G11" i="6"/>
  <c r="E10" i="6"/>
  <c r="J29" i="27"/>
  <c r="N29" i="27" s="1"/>
  <c r="P99" i="26"/>
  <c r="G29" i="27"/>
  <c r="K29" i="27" s="1"/>
  <c r="M51" i="26" s="1"/>
  <c r="H29" i="27"/>
  <c r="L29" i="27" s="1"/>
  <c r="N50" i="26" s="1"/>
  <c r="N95" i="26" s="1"/>
  <c r="H31" i="27" s="1"/>
  <c r="L31" i="27" s="1"/>
  <c r="I29" i="27"/>
  <c r="M29" i="27" s="1"/>
  <c r="K10" i="6"/>
  <c r="G13" i="6"/>
  <c r="I13" i="6"/>
  <c r="G10" i="6"/>
  <c r="G14" i="6"/>
  <c r="E14" i="6"/>
  <c r="K13" i="6"/>
  <c r="K14" i="6"/>
  <c r="I14" i="6"/>
  <c r="I10" i="6"/>
  <c r="E13" i="6"/>
  <c r="I28" i="27"/>
  <c r="M28" i="27" s="1"/>
  <c r="J28" i="27"/>
  <c r="N28" i="27" s="1"/>
  <c r="G28" i="27"/>
  <c r="K28" i="27" s="1"/>
  <c r="G20" i="31" l="1"/>
  <c r="G27" i="31" s="1"/>
  <c r="N51" i="26"/>
  <c r="N52" i="26"/>
  <c r="N53" i="26"/>
  <c r="P52" i="26"/>
  <c r="P51" i="26"/>
  <c r="O52" i="26"/>
  <c r="O51" i="26"/>
  <c r="M50" i="26"/>
  <c r="M52" i="26"/>
  <c r="M53" i="26"/>
  <c r="P47" i="26"/>
  <c r="O47" i="26"/>
  <c r="N49" i="26"/>
  <c r="N48" i="26"/>
  <c r="P53" i="26"/>
  <c r="P50" i="26"/>
  <c r="F8" i="28" s="1"/>
  <c r="F16" i="28" s="1"/>
  <c r="O53" i="26"/>
  <c r="O50" i="26"/>
  <c r="O95" i="26" s="1"/>
  <c r="I31" i="27" s="1"/>
  <c r="M31" i="27" s="1"/>
  <c r="M95" i="26" l="1"/>
  <c r="G31" i="27" s="1"/>
  <c r="K31" i="27" s="1"/>
  <c r="M48" i="26" s="1"/>
  <c r="C27" i="31"/>
  <c r="P95" i="26"/>
  <c r="J31" i="27" s="1"/>
  <c r="N31" i="27" s="1"/>
  <c r="P49" i="26" s="1"/>
  <c r="M47" i="26"/>
  <c r="O48" i="26"/>
  <c r="O49" i="26"/>
  <c r="M49" i="26" l="1"/>
  <c r="P48" i="26"/>
  <c r="B9" i="28" l="1"/>
  <c r="B10" i="28"/>
  <c r="B11" i="28"/>
  <c r="B12" i="28"/>
  <c r="B16" i="28" l="1"/>
  <c r="E9" i="28"/>
  <c r="J28" i="28" s="1"/>
  <c r="D9" i="28"/>
  <c r="F28" i="28" s="1"/>
  <c r="X14" i="42" l="1"/>
  <c r="F15" i="38"/>
  <c r="X14" i="41"/>
  <c r="C15" i="38"/>
  <c r="X14" i="32"/>
  <c r="K28" i="28"/>
  <c r="K15" i="38" s="1"/>
  <c r="J15" i="38"/>
  <c r="G28" i="28"/>
  <c r="G15" i="38" s="1"/>
  <c r="H28" i="28"/>
  <c r="H15" i="38" s="1"/>
  <c r="I28" i="28"/>
  <c r="I15" i="38" s="1"/>
  <c r="I8" i="28"/>
  <c r="I16" i="28" s="1"/>
  <c r="D8" i="28"/>
  <c r="E8" i="28"/>
  <c r="X37" i="41" l="1"/>
  <c r="X35" i="41"/>
  <c r="X33" i="41"/>
  <c r="X31" i="41"/>
  <c r="X29" i="41"/>
  <c r="X27" i="41"/>
  <c r="X25" i="41"/>
  <c r="X23" i="41"/>
  <c r="X21" i="41"/>
  <c r="X38" i="41"/>
  <c r="X30" i="41"/>
  <c r="X22" i="41"/>
  <c r="X32" i="41"/>
  <c r="X24" i="41"/>
  <c r="X34" i="41"/>
  <c r="X26" i="41"/>
  <c r="X36" i="41"/>
  <c r="X28" i="41"/>
  <c r="X20" i="41"/>
  <c r="X38" i="32"/>
  <c r="X20" i="32"/>
  <c r="X41" i="32" s="1"/>
  <c r="X20" i="42"/>
  <c r="X40" i="42" s="1"/>
  <c r="X38" i="42"/>
  <c r="C14" i="31"/>
  <c r="G14" i="31" s="1"/>
  <c r="E16" i="28"/>
  <c r="C11" i="31"/>
  <c r="G11" i="31" s="1"/>
  <c r="D16" i="28"/>
  <c r="I35" i="38"/>
  <c r="H35" i="38"/>
  <c r="K35" i="38"/>
  <c r="J35" i="38" s="1"/>
  <c r="G35" i="38"/>
  <c r="F35" i="38" s="1"/>
  <c r="X34" i="42"/>
  <c r="X30" i="42"/>
  <c r="X26" i="42"/>
  <c r="X22" i="42"/>
  <c r="X37" i="42"/>
  <c r="X33" i="42"/>
  <c r="X29" i="42"/>
  <c r="X25" i="42"/>
  <c r="X35" i="42"/>
  <c r="X31" i="42"/>
  <c r="X27" i="42"/>
  <c r="X23" i="42"/>
  <c r="X21" i="42"/>
  <c r="X36" i="42"/>
  <c r="X32" i="42"/>
  <c r="X28" i="42"/>
  <c r="X24" i="42"/>
  <c r="R27" i="28"/>
  <c r="F7" i="44" s="1"/>
  <c r="C21" i="31"/>
  <c r="F15" i="44" l="1"/>
  <c r="J15" i="44" s="1"/>
  <c r="F32" i="44"/>
  <c r="J32" i="44" s="1"/>
  <c r="F14" i="44"/>
  <c r="J14" i="44" s="1"/>
  <c r="J38" i="44" s="1"/>
  <c r="R14" i="38"/>
  <c r="W27" i="28"/>
  <c r="W14" i="38" s="1"/>
  <c r="U27" i="28"/>
  <c r="U14" i="38" s="1"/>
  <c r="T27" i="28"/>
  <c r="T14" i="38" s="1"/>
  <c r="V27" i="28"/>
  <c r="V14" i="38" s="1"/>
  <c r="C26" i="31"/>
  <c r="S27" i="28"/>
  <c r="S14" i="38" s="1"/>
  <c r="S33" i="38" s="1"/>
  <c r="R33" i="38" s="1"/>
  <c r="T33" i="38" l="1"/>
  <c r="T42" i="38" s="1"/>
  <c r="F23" i="44"/>
  <c r="J23" i="44" s="1"/>
  <c r="F31" i="44"/>
  <c r="J31" i="44" s="1"/>
  <c r="F27" i="44"/>
  <c r="J27" i="44" s="1"/>
  <c r="F20" i="44"/>
  <c r="J20" i="44" s="1"/>
  <c r="F28" i="44"/>
  <c r="J28" i="44" s="1"/>
  <c r="F21" i="44"/>
  <c r="J21" i="44" s="1"/>
  <c r="F25" i="44"/>
  <c r="J25" i="44" s="1"/>
  <c r="F22" i="44"/>
  <c r="J22" i="44" s="1"/>
  <c r="F30" i="44"/>
  <c r="J30" i="44" s="1"/>
  <c r="F19" i="44"/>
  <c r="J19" i="44" s="1"/>
  <c r="F26" i="44"/>
  <c r="J26" i="44" s="1"/>
  <c r="F29" i="44"/>
  <c r="J29" i="44" s="1"/>
  <c r="F16" i="44"/>
  <c r="J16" i="44" s="1"/>
  <c r="F24" i="44"/>
  <c r="J24" i="44" s="1"/>
  <c r="F18" i="44"/>
  <c r="J18" i="44" s="1"/>
  <c r="F17" i="44"/>
  <c r="J17" i="44" s="1"/>
  <c r="W33" i="38"/>
  <c r="W42" i="38" s="1"/>
  <c r="U33" i="38"/>
  <c r="U42" i="38" s="1"/>
  <c r="V33" i="38"/>
  <c r="V42" i="38" s="1"/>
  <c r="X42" i="41"/>
  <c r="X37" i="32"/>
  <c r="X22" i="32"/>
  <c r="X26" i="32"/>
  <c r="X34" i="32"/>
  <c r="X30" i="32"/>
  <c r="X27" i="32"/>
  <c r="X36" i="32"/>
  <c r="X29" i="32"/>
  <c r="X35" i="32"/>
  <c r="X28" i="32"/>
  <c r="X21" i="32"/>
  <c r="X31" i="32"/>
  <c r="X24" i="32"/>
  <c r="X33" i="32"/>
  <c r="X23" i="32"/>
  <c r="X32" i="32"/>
  <c r="X25" i="32"/>
  <c r="R42" i="38"/>
  <c r="D28" i="28"/>
  <c r="D15" i="38" s="1"/>
  <c r="D35" i="38" s="1"/>
  <c r="C35" i="38" s="1"/>
  <c r="E28" i="28"/>
  <c r="E15" i="38" s="1"/>
  <c r="E19" i="37"/>
  <c r="E12" i="37"/>
  <c r="E13" i="37" s="1"/>
  <c r="J27" i="29" l="1"/>
  <c r="M27" i="29"/>
  <c r="L27" i="29" s="1"/>
  <c r="J21" i="28" s="1"/>
  <c r="G27" i="29"/>
  <c r="I27" i="29"/>
  <c r="K27" i="29"/>
  <c r="F27" i="29"/>
  <c r="F38" i="44"/>
  <c r="E35" i="38"/>
  <c r="S42" i="38"/>
  <c r="B11" i="31"/>
  <c r="B14" i="31"/>
  <c r="J16" i="6"/>
  <c r="H27" i="29" l="1"/>
  <c r="E27" i="29"/>
  <c r="D21" i="31"/>
  <c r="E21" i="31" s="1"/>
  <c r="R34" i="38" s="1"/>
  <c r="J22" i="28"/>
  <c r="J9" i="38" s="1"/>
  <c r="J23" i="28"/>
  <c r="B35" i="38"/>
  <c r="D27" i="29" l="1"/>
  <c r="C27" i="29" s="1"/>
  <c r="E26" i="31"/>
  <c r="H21" i="31"/>
  <c r="K22" i="28"/>
  <c r="K9" i="38" s="1"/>
  <c r="O8" i="42"/>
  <c r="Q8" i="42" s="1"/>
  <c r="F21" i="28"/>
  <c r="O7" i="41" s="1"/>
  <c r="F22" i="28"/>
  <c r="G22" i="28" s="1"/>
  <c r="G9" i="38" s="1"/>
  <c r="F23" i="28"/>
  <c r="F10" i="38" s="1"/>
  <c r="C23" i="28"/>
  <c r="C21" i="28"/>
  <c r="C22" i="28"/>
  <c r="P9" i="42"/>
  <c r="O7" i="42"/>
  <c r="K21" i="28"/>
  <c r="K8" i="38" s="1"/>
  <c r="J8" i="38"/>
  <c r="K23" i="28"/>
  <c r="K10" i="38" s="1"/>
  <c r="J10" i="38"/>
  <c r="K33" i="38" l="1"/>
  <c r="J33" i="38" s="1"/>
  <c r="J42" i="38" s="1"/>
  <c r="P38" i="42"/>
  <c r="P20" i="42"/>
  <c r="P40" i="42" s="1"/>
  <c r="R9" i="42"/>
  <c r="Q7" i="42"/>
  <c r="O38" i="42"/>
  <c r="O20" i="42"/>
  <c r="H26" i="31"/>
  <c r="I26" i="31" s="1"/>
  <c r="I21" i="31"/>
  <c r="Q7" i="41"/>
  <c r="H22" i="28"/>
  <c r="H9" i="38" s="1"/>
  <c r="F9" i="38"/>
  <c r="I22" i="28"/>
  <c r="I9" i="38" s="1"/>
  <c r="O8" i="41"/>
  <c r="O38" i="41" s="1"/>
  <c r="I23" i="28"/>
  <c r="I10" i="38" s="1"/>
  <c r="P9" i="41"/>
  <c r="H21" i="28"/>
  <c r="H8" i="38" s="1"/>
  <c r="H23" i="28"/>
  <c r="H10" i="38" s="1"/>
  <c r="G21" i="28"/>
  <c r="G8" i="38" s="1"/>
  <c r="I21" i="28"/>
  <c r="I8" i="38" s="1"/>
  <c r="G23" i="28"/>
  <c r="G10" i="38" s="1"/>
  <c r="F8" i="38"/>
  <c r="O34" i="42"/>
  <c r="O30" i="42"/>
  <c r="O26" i="42"/>
  <c r="O22" i="42"/>
  <c r="O37" i="42"/>
  <c r="O33" i="42"/>
  <c r="O29" i="42"/>
  <c r="O25" i="42"/>
  <c r="O35" i="42"/>
  <c r="O31" i="42"/>
  <c r="O27" i="42"/>
  <c r="O23" i="42"/>
  <c r="O21" i="42"/>
  <c r="O36" i="42"/>
  <c r="O32" i="42"/>
  <c r="O28" i="42"/>
  <c r="O24" i="42"/>
  <c r="O40" i="42"/>
  <c r="P35" i="42"/>
  <c r="P31" i="42"/>
  <c r="P27" i="42"/>
  <c r="P23" i="42"/>
  <c r="P34" i="42"/>
  <c r="P30" i="42"/>
  <c r="P26" i="42"/>
  <c r="P22" i="42"/>
  <c r="P36" i="42"/>
  <c r="P32" i="42"/>
  <c r="P28" i="42"/>
  <c r="P24" i="42"/>
  <c r="P37" i="42"/>
  <c r="P33" i="42"/>
  <c r="P29" i="42"/>
  <c r="P25" i="42"/>
  <c r="P21" i="42"/>
  <c r="O8" i="32"/>
  <c r="Q8" i="32" s="1"/>
  <c r="O7" i="32"/>
  <c r="P9" i="32"/>
  <c r="C8" i="38"/>
  <c r="D21" i="28"/>
  <c r="E21" i="28"/>
  <c r="E8" i="38" s="1"/>
  <c r="C10" i="38"/>
  <c r="D23" i="28"/>
  <c r="E23" i="28"/>
  <c r="E10" i="38" s="1"/>
  <c r="C9" i="38"/>
  <c r="D22" i="28"/>
  <c r="E22" i="28"/>
  <c r="E9" i="38" s="1"/>
  <c r="O27" i="41" l="1"/>
  <c r="O35" i="41"/>
  <c r="O24" i="41"/>
  <c r="O32" i="41"/>
  <c r="P37" i="41"/>
  <c r="P35" i="41"/>
  <c r="P33" i="41"/>
  <c r="P31" i="41"/>
  <c r="P29" i="41"/>
  <c r="P27" i="41"/>
  <c r="P25" i="41"/>
  <c r="P23" i="41"/>
  <c r="P21" i="41"/>
  <c r="P38" i="41"/>
  <c r="P32" i="41"/>
  <c r="P24" i="41"/>
  <c r="P34" i="41"/>
  <c r="P26" i="41"/>
  <c r="P22" i="41"/>
  <c r="P36" i="41"/>
  <c r="P28" i="41"/>
  <c r="P20" i="41"/>
  <c r="P30" i="41"/>
  <c r="O21" i="41"/>
  <c r="O29" i="41"/>
  <c r="O37" i="41"/>
  <c r="O26" i="41"/>
  <c r="O34" i="41"/>
  <c r="O23" i="41"/>
  <c r="O31" i="41"/>
  <c r="O20" i="41"/>
  <c r="O28" i="41"/>
  <c r="O36" i="41"/>
  <c r="O25" i="41"/>
  <c r="O33" i="41"/>
  <c r="O22" i="41"/>
  <c r="O30" i="41"/>
  <c r="R38" i="42"/>
  <c r="R20" i="42"/>
  <c r="R40" i="42" s="1"/>
  <c r="P38" i="32"/>
  <c r="P20" i="32"/>
  <c r="P41" i="32" s="1"/>
  <c r="R9" i="32"/>
  <c r="O42" i="41"/>
  <c r="Q38" i="42"/>
  <c r="AA38" i="42" s="1"/>
  <c r="Q20" i="42"/>
  <c r="AA20" i="42" s="1"/>
  <c r="AA40" i="42" s="1"/>
  <c r="O38" i="32"/>
  <c r="O21" i="32"/>
  <c r="O22" i="32"/>
  <c r="O24" i="32"/>
  <c r="O23" i="32"/>
  <c r="O20" i="32"/>
  <c r="O41" i="32" s="1"/>
  <c r="Q7" i="32"/>
  <c r="Q8" i="41"/>
  <c r="Q35" i="41" s="1"/>
  <c r="P42" i="41"/>
  <c r="R9" i="41"/>
  <c r="I33" i="38"/>
  <c r="I42" i="38" s="1"/>
  <c r="H33" i="38"/>
  <c r="H42" i="38" s="1"/>
  <c r="G33" i="38"/>
  <c r="F33" i="38" s="1"/>
  <c r="E33" i="38"/>
  <c r="E42" i="38" s="1"/>
  <c r="R37" i="42"/>
  <c r="R33" i="42"/>
  <c r="R29" i="42"/>
  <c r="R25" i="42"/>
  <c r="R21" i="42"/>
  <c r="R32" i="42"/>
  <c r="R28" i="42"/>
  <c r="R34" i="42"/>
  <c r="R30" i="42"/>
  <c r="R26" i="42"/>
  <c r="R22" i="42"/>
  <c r="R36" i="42"/>
  <c r="R24" i="42"/>
  <c r="R35" i="42"/>
  <c r="R31" i="42"/>
  <c r="R27" i="42"/>
  <c r="R23" i="42"/>
  <c r="Q36" i="42"/>
  <c r="AA36" i="42" s="1"/>
  <c r="Q32" i="42"/>
  <c r="AA32" i="42" s="1"/>
  <c r="Q28" i="42"/>
  <c r="AA28" i="42" s="1"/>
  <c r="Q24" i="42"/>
  <c r="AA24" i="42" s="1"/>
  <c r="Q35" i="42"/>
  <c r="AA35" i="42" s="1"/>
  <c r="Q31" i="42"/>
  <c r="AA31" i="42" s="1"/>
  <c r="Q27" i="42"/>
  <c r="AA27" i="42" s="1"/>
  <c r="Q37" i="42"/>
  <c r="AA37" i="42" s="1"/>
  <c r="Q33" i="42"/>
  <c r="AA33" i="42" s="1"/>
  <c r="Q29" i="42"/>
  <c r="AA29" i="42" s="1"/>
  <c r="Q25" i="42"/>
  <c r="AA25" i="42" s="1"/>
  <c r="Q21" i="42"/>
  <c r="AA21" i="42" s="1"/>
  <c r="Q23" i="42"/>
  <c r="AA23" i="42" s="1"/>
  <c r="Q34" i="42"/>
  <c r="AA34" i="42" s="1"/>
  <c r="Q30" i="42"/>
  <c r="AA30" i="42" s="1"/>
  <c r="Q26" i="42"/>
  <c r="AA26" i="42" s="1"/>
  <c r="Q22" i="42"/>
  <c r="AA22" i="42" s="1"/>
  <c r="D9" i="38"/>
  <c r="D8" i="38"/>
  <c r="D10" i="38"/>
  <c r="Q36" i="41" l="1"/>
  <c r="Q33" i="41"/>
  <c r="AA33" i="41" s="1"/>
  <c r="R38" i="41"/>
  <c r="R36" i="41"/>
  <c r="R34" i="41"/>
  <c r="R32" i="41"/>
  <c r="R30" i="41"/>
  <c r="R28" i="41"/>
  <c r="R26" i="41"/>
  <c r="R24" i="41"/>
  <c r="R22" i="41"/>
  <c r="R20" i="41"/>
  <c r="R42" i="41" s="1"/>
  <c r="R37" i="41"/>
  <c r="R33" i="41"/>
  <c r="R25" i="41"/>
  <c r="R35" i="41"/>
  <c r="R27" i="41"/>
  <c r="R21" i="41"/>
  <c r="R31" i="41"/>
  <c r="R29" i="41"/>
  <c r="R23" i="41"/>
  <c r="Q22" i="41"/>
  <c r="Q30" i="41"/>
  <c r="AA30" i="41" s="1"/>
  <c r="Q38" i="41"/>
  <c r="AA38" i="41" s="1"/>
  <c r="Q27" i="41"/>
  <c r="Q28" i="41"/>
  <c r="AA28" i="41" s="1"/>
  <c r="Q25" i="41"/>
  <c r="AA25" i="41" s="1"/>
  <c r="Q24" i="41"/>
  <c r="AA24" i="41" s="1"/>
  <c r="Q32" i="41"/>
  <c r="Q21" i="41"/>
  <c r="AA21" i="41" s="1"/>
  <c r="Q29" i="41"/>
  <c r="AA29" i="41" s="1"/>
  <c r="Q37" i="41"/>
  <c r="AA37" i="41" s="1"/>
  <c r="Q20" i="41"/>
  <c r="AA20" i="41" s="1"/>
  <c r="AA42" i="41" s="1"/>
  <c r="Q26" i="41"/>
  <c r="Q34" i="41"/>
  <c r="AA34" i="41" s="1"/>
  <c r="Q23" i="41"/>
  <c r="AA23" i="41" s="1"/>
  <c r="Q31" i="41"/>
  <c r="Q20" i="32"/>
  <c r="Q38" i="32"/>
  <c r="AA38" i="32" s="1"/>
  <c r="R38" i="32"/>
  <c r="R20" i="32"/>
  <c r="R41" i="32" s="1"/>
  <c r="D33" i="38"/>
  <c r="C33" i="38" s="1"/>
  <c r="B33" i="38" s="1"/>
  <c r="B42" i="38" s="1"/>
  <c r="AA36" i="41"/>
  <c r="AA32" i="41"/>
  <c r="AA35" i="41"/>
  <c r="AA31" i="41"/>
  <c r="AA27" i="41"/>
  <c r="AA26" i="41"/>
  <c r="AA22" i="41"/>
  <c r="D14" i="31"/>
  <c r="E14" i="31" s="1"/>
  <c r="Q40" i="42"/>
  <c r="P26" i="32"/>
  <c r="P23" i="32"/>
  <c r="P24" i="32"/>
  <c r="P28" i="32"/>
  <c r="P35" i="32"/>
  <c r="P33" i="32"/>
  <c r="P22" i="32"/>
  <c r="P32" i="32"/>
  <c r="P30" i="32"/>
  <c r="P29" i="32"/>
  <c r="P21" i="32"/>
  <c r="P27" i="32"/>
  <c r="P36" i="32"/>
  <c r="P34" i="32"/>
  <c r="P31" i="32"/>
  <c r="P37" i="32"/>
  <c r="P25" i="32"/>
  <c r="O28" i="32"/>
  <c r="O25" i="32"/>
  <c r="O34" i="32"/>
  <c r="O32" i="32"/>
  <c r="O37" i="32"/>
  <c r="O33" i="32"/>
  <c r="O26" i="32"/>
  <c r="O30" i="32"/>
  <c r="O27" i="32"/>
  <c r="O29" i="32"/>
  <c r="O36" i="32"/>
  <c r="O35" i="32"/>
  <c r="O31" i="32"/>
  <c r="B21" i="31"/>
  <c r="B26" i="31" s="1"/>
  <c r="H14" i="31" l="1"/>
  <c r="I14" i="31" s="1"/>
  <c r="J34" i="38"/>
  <c r="Q41" i="32"/>
  <c r="AA20" i="32"/>
  <c r="AA41" i="32" s="1"/>
  <c r="D9" i="31" s="1"/>
  <c r="E9" i="31" s="1"/>
  <c r="E20" i="31" s="1"/>
  <c r="D11" i="31"/>
  <c r="Q42" i="41"/>
  <c r="Q26" i="32"/>
  <c r="AA26" i="32" s="1"/>
  <c r="Q23" i="32"/>
  <c r="AA23" i="32" s="1"/>
  <c r="Q30" i="32"/>
  <c r="AA30" i="32" s="1"/>
  <c r="Q36" i="32"/>
  <c r="AA36" i="32" s="1"/>
  <c r="Q37" i="32"/>
  <c r="AA37" i="32" s="1"/>
  <c r="Q31" i="32"/>
  <c r="AA31" i="32" s="1"/>
  <c r="Q33" i="32"/>
  <c r="AA33" i="32" s="1"/>
  <c r="Q34" i="32"/>
  <c r="AA34" i="32" s="1"/>
  <c r="Q25" i="32"/>
  <c r="AA25" i="32" s="1"/>
  <c r="Q27" i="32"/>
  <c r="AA27" i="32" s="1"/>
  <c r="Q29" i="32"/>
  <c r="AA29" i="32" s="1"/>
  <c r="Q22" i="32"/>
  <c r="AA22" i="32" s="1"/>
  <c r="Q28" i="32"/>
  <c r="AA28" i="32" s="1"/>
  <c r="Q35" i="32"/>
  <c r="AA35" i="32" s="1"/>
  <c r="Q24" i="32"/>
  <c r="AA24" i="32" s="1"/>
  <c r="Q32" i="32"/>
  <c r="AA32" i="32" s="1"/>
  <c r="Q21" i="32"/>
  <c r="AA21" i="32" s="1"/>
  <c r="R25" i="32"/>
  <c r="R23" i="32"/>
  <c r="R30" i="32"/>
  <c r="R21" i="32"/>
  <c r="R33" i="32"/>
  <c r="R32" i="32"/>
  <c r="R35" i="32"/>
  <c r="R29" i="32"/>
  <c r="R27" i="32"/>
  <c r="R26" i="32"/>
  <c r="R31" i="32"/>
  <c r="R24" i="32"/>
  <c r="R36" i="32"/>
  <c r="R22" i="32"/>
  <c r="R28" i="32"/>
  <c r="R34" i="32"/>
  <c r="R37" i="32"/>
  <c r="H9" i="31" l="1"/>
  <c r="H20" i="31" s="1"/>
  <c r="I20" i="31" s="1"/>
  <c r="E27" i="31"/>
  <c r="E11" i="31"/>
  <c r="H11" i="31" s="1"/>
  <c r="I11" i="31" s="1"/>
  <c r="K42" i="38"/>
  <c r="H27" i="31" l="1"/>
  <c r="I27" i="31" s="1"/>
  <c r="G36" i="31" s="1"/>
  <c r="I9" i="31"/>
  <c r="F34" i="38"/>
  <c r="C34" i="38"/>
  <c r="B34" i="38" s="1"/>
  <c r="D42" i="38"/>
  <c r="G42" i="38"/>
  <c r="F42" i="38"/>
  <c r="C42" i="38" l="1"/>
  <c r="C14" i="29" l="1"/>
  <c r="C15" i="29"/>
  <c r="C16" i="29"/>
  <c r="C22" i="29"/>
  <c r="C17" i="29"/>
  <c r="C24" i="29"/>
  <c r="C23" i="29"/>
  <c r="L81" i="26" l="1"/>
  <c r="S81" i="26"/>
  <c r="L82" i="26"/>
  <c r="S82" i="26"/>
  <c r="S80" i="26"/>
  <c r="L80" i="26"/>
  <c r="K91" i="26"/>
  <c r="S79" i="26"/>
  <c r="L79" i="26"/>
  <c r="L83" i="26"/>
  <c r="S83" i="26"/>
  <c r="L84" i="26"/>
  <c r="S84" i="26"/>
  <c r="L91" i="26" l="1"/>
  <c r="S91" i="26"/>
  <c r="D15" i="6"/>
  <c r="D16" i="6" s="1"/>
  <c r="N60" i="26"/>
  <c r="N55" i="26"/>
  <c r="H15" i="6"/>
  <c r="P60" i="26"/>
  <c r="P55" i="26"/>
  <c r="M60" i="26"/>
  <c r="M55" i="26"/>
  <c r="O55" i="26"/>
  <c r="O60" i="26"/>
  <c r="P91" i="26" l="1"/>
  <c r="E10" i="28"/>
  <c r="O91" i="26"/>
  <c r="D10" i="28"/>
  <c r="N91" i="26"/>
  <c r="R55" i="26"/>
  <c r="Q55" i="26"/>
  <c r="G15" i="6"/>
  <c r="E15" i="6"/>
  <c r="F10" i="28"/>
  <c r="R60" i="26"/>
  <c r="H10" i="28" s="1"/>
  <c r="Q60" i="26"/>
  <c r="G10" i="28" s="1"/>
  <c r="H16" i="6"/>
  <c r="I15" i="6"/>
  <c r="K15" i="6"/>
  <c r="I16" i="6" l="1"/>
  <c r="K16" i="6"/>
  <c r="G16" i="6"/>
  <c r="E16" i="6"/>
  <c r="K39" i="43" l="1"/>
  <c r="L39" i="43" l="1"/>
  <c r="M91" i="26" l="1"/>
  <c r="D29" i="29"/>
  <c r="C29" i="29" s="1"/>
  <c r="J25" i="27"/>
  <c r="L25" i="27" l="1"/>
  <c r="K25" i="27"/>
  <c r="M25" i="27"/>
  <c r="N25" i="27"/>
  <c r="J26" i="27"/>
  <c r="D28" i="29"/>
  <c r="M26" i="27" l="1"/>
  <c r="L26" i="27"/>
  <c r="K26" i="27"/>
  <c r="N26" i="27"/>
  <c r="M20" i="26"/>
  <c r="M81" i="26"/>
  <c r="M79" i="26"/>
  <c r="M80" i="26"/>
  <c r="M78" i="26"/>
  <c r="M84" i="26"/>
  <c r="M75" i="26"/>
  <c r="M76" i="26"/>
  <c r="M82" i="26"/>
  <c r="M77" i="26"/>
  <c r="M85" i="26"/>
  <c r="M83" i="26"/>
  <c r="C15" i="28" s="1"/>
  <c r="C40" i="28" s="1"/>
  <c r="M41" i="26"/>
  <c r="M74" i="26"/>
  <c r="M73" i="26"/>
  <c r="C14" i="28" s="1"/>
  <c r="C39" i="28" s="1"/>
  <c r="N85" i="26"/>
  <c r="N76" i="26"/>
  <c r="N82" i="26"/>
  <c r="N74" i="26"/>
  <c r="N77" i="26"/>
  <c r="N20" i="26"/>
  <c r="N81" i="26"/>
  <c r="N80" i="26"/>
  <c r="N41" i="26"/>
  <c r="N75" i="26"/>
  <c r="N78" i="26"/>
  <c r="N79" i="26"/>
  <c r="N84" i="26"/>
  <c r="N83" i="26"/>
  <c r="D15" i="28" s="1"/>
  <c r="F40" i="28" s="1"/>
  <c r="N73" i="26"/>
  <c r="D14" i="28" s="1"/>
  <c r="F39" i="28" s="1"/>
  <c r="P76" i="26"/>
  <c r="P80" i="26"/>
  <c r="P74" i="26"/>
  <c r="P77" i="26"/>
  <c r="P79" i="26"/>
  <c r="P84" i="26"/>
  <c r="P41" i="26"/>
  <c r="P81" i="26"/>
  <c r="P85" i="26"/>
  <c r="P82" i="26"/>
  <c r="P78" i="26"/>
  <c r="P75" i="26"/>
  <c r="P20" i="26"/>
  <c r="P83" i="26"/>
  <c r="P73" i="26"/>
  <c r="C28" i="29"/>
  <c r="E10" i="27"/>
  <c r="O77" i="26"/>
  <c r="O41" i="26"/>
  <c r="O82" i="26"/>
  <c r="O85" i="26"/>
  <c r="O76" i="26"/>
  <c r="O80" i="26"/>
  <c r="O20" i="26"/>
  <c r="O75" i="26"/>
  <c r="O81" i="26"/>
  <c r="O79" i="26"/>
  <c r="O84" i="26"/>
  <c r="O83" i="26"/>
  <c r="E15" i="28" s="1"/>
  <c r="J40" i="28" s="1"/>
  <c r="O78" i="26"/>
  <c r="O74" i="26"/>
  <c r="O73" i="26"/>
  <c r="E14" i="28" s="1"/>
  <c r="J39" i="28" s="1"/>
  <c r="J26" i="38" l="1"/>
  <c r="U10" i="42"/>
  <c r="K39" i="28"/>
  <c r="K26" i="38" s="1"/>
  <c r="P21" i="26"/>
  <c r="P44" i="26"/>
  <c r="P40" i="26"/>
  <c r="P18" i="26"/>
  <c r="P46" i="26"/>
  <c r="P43" i="26"/>
  <c r="P39" i="26"/>
  <c r="P45" i="26"/>
  <c r="P19" i="26"/>
  <c r="M40" i="26"/>
  <c r="M44" i="26"/>
  <c r="M19" i="26"/>
  <c r="M18" i="26"/>
  <c r="M45" i="26"/>
  <c r="M43" i="26"/>
  <c r="M21" i="26"/>
  <c r="M46" i="26"/>
  <c r="M39" i="26"/>
  <c r="F14" i="28"/>
  <c r="H39" i="28"/>
  <c r="H26" i="38" s="1"/>
  <c r="F26" i="38"/>
  <c r="U10" i="41"/>
  <c r="G39" i="28"/>
  <c r="G26" i="38" s="1"/>
  <c r="I39" i="28"/>
  <c r="I26" i="38" s="1"/>
  <c r="C27" i="38"/>
  <c r="E40" i="28"/>
  <c r="E27" i="38" s="1"/>
  <c r="V10" i="32"/>
  <c r="D40" i="28"/>
  <c r="D27" i="38" s="1"/>
  <c r="N46" i="26"/>
  <c r="N45" i="26"/>
  <c r="N40" i="26"/>
  <c r="N44" i="26"/>
  <c r="N39" i="26"/>
  <c r="N43" i="26"/>
  <c r="N18" i="26"/>
  <c r="N21" i="26"/>
  <c r="N19" i="26"/>
  <c r="H10" i="27"/>
  <c r="G10" i="27"/>
  <c r="J27" i="38"/>
  <c r="V10" i="42"/>
  <c r="K40" i="28"/>
  <c r="K27" i="38" s="1"/>
  <c r="F15" i="28"/>
  <c r="F27" i="38"/>
  <c r="V10" i="41"/>
  <c r="H40" i="28"/>
  <c r="H27" i="38" s="1"/>
  <c r="G40" i="28"/>
  <c r="G27" i="38" s="1"/>
  <c r="I40" i="28"/>
  <c r="I27" i="38" s="1"/>
  <c r="I41" i="38" s="1"/>
  <c r="C26" i="38"/>
  <c r="U10" i="32"/>
  <c r="D39" i="28"/>
  <c r="D26" i="38" s="1"/>
  <c r="E39" i="28"/>
  <c r="E26" i="38" s="1"/>
  <c r="O40" i="26"/>
  <c r="O46" i="26"/>
  <c r="O19" i="26"/>
  <c r="O45" i="26"/>
  <c r="O43" i="26"/>
  <c r="O39" i="26"/>
  <c r="O21" i="26"/>
  <c r="O44" i="26"/>
  <c r="O18" i="26"/>
  <c r="V38" i="41" l="1"/>
  <c r="V36" i="41"/>
  <c r="V34" i="41"/>
  <c r="V32" i="41"/>
  <c r="V30" i="41"/>
  <c r="V28" i="41"/>
  <c r="V26" i="41"/>
  <c r="V24" i="41"/>
  <c r="V22" i="41"/>
  <c r="V20" i="41"/>
  <c r="V37" i="41"/>
  <c r="V35" i="41"/>
  <c r="V27" i="41"/>
  <c r="V29" i="41"/>
  <c r="V21" i="41"/>
  <c r="V31" i="41"/>
  <c r="V23" i="41"/>
  <c r="V33" i="41"/>
  <c r="V25" i="41"/>
  <c r="U37" i="41"/>
  <c r="U35" i="41"/>
  <c r="U33" i="41"/>
  <c r="U31" i="41"/>
  <c r="U29" i="41"/>
  <c r="U27" i="41"/>
  <c r="U25" i="41"/>
  <c r="U23" i="41"/>
  <c r="U21" i="41"/>
  <c r="U38" i="41"/>
  <c r="U36" i="41"/>
  <c r="U34" i="41"/>
  <c r="U32" i="41"/>
  <c r="U30" i="41"/>
  <c r="U28" i="41"/>
  <c r="U26" i="41"/>
  <c r="U24" i="41"/>
  <c r="U22" i="41"/>
  <c r="U20" i="41"/>
  <c r="E41" i="38"/>
  <c r="I40" i="38"/>
  <c r="H40" i="38"/>
  <c r="V34" i="42"/>
  <c r="V28" i="42"/>
  <c r="V33" i="42"/>
  <c r="V37" i="42"/>
  <c r="V31" i="42"/>
  <c r="V20" i="42"/>
  <c r="V40" i="42" s="1"/>
  <c r="V35" i="42"/>
  <c r="V32" i="42"/>
  <c r="V38" i="42"/>
  <c r="V30" i="42"/>
  <c r="V23" i="42"/>
  <c r="V26" i="42"/>
  <c r="V25" i="42"/>
  <c r="V27" i="42"/>
  <c r="V36" i="42"/>
  <c r="V29" i="42"/>
  <c r="V21" i="42"/>
  <c r="V24" i="42"/>
  <c r="V22" i="42"/>
  <c r="E40" i="38"/>
  <c r="H41" i="38"/>
  <c r="K41" i="38"/>
  <c r="J41" i="38" s="1"/>
  <c r="S22" i="26"/>
  <c r="S42" i="26"/>
  <c r="D40" i="38"/>
  <c r="C40" i="38" s="1"/>
  <c r="B40" i="38" s="1"/>
  <c r="V42" i="41"/>
  <c r="G40" i="38"/>
  <c r="F40" i="38" s="1"/>
  <c r="K40" i="38"/>
  <c r="J40" i="38" s="1"/>
  <c r="U20" i="32"/>
  <c r="U41" i="32" s="1"/>
  <c r="U21" i="32"/>
  <c r="U29" i="32"/>
  <c r="U30" i="32"/>
  <c r="U22" i="32"/>
  <c r="U27" i="32"/>
  <c r="U24" i="32"/>
  <c r="U32" i="32"/>
  <c r="U33" i="32"/>
  <c r="U25" i="32"/>
  <c r="U34" i="32"/>
  <c r="U23" i="32"/>
  <c r="U31" i="32"/>
  <c r="U36" i="32"/>
  <c r="U28" i="32"/>
  <c r="U37" i="32"/>
  <c r="U26" i="32"/>
  <c r="U38" i="32"/>
  <c r="U35" i="32"/>
  <c r="D41" i="38"/>
  <c r="C41" i="38" s="1"/>
  <c r="B41" i="38" s="1"/>
  <c r="U42" i="41"/>
  <c r="U36" i="42"/>
  <c r="U29" i="42"/>
  <c r="U25" i="42"/>
  <c r="U32" i="42"/>
  <c r="U22" i="42"/>
  <c r="U38" i="42"/>
  <c r="U28" i="42"/>
  <c r="U30" i="42"/>
  <c r="U34" i="42"/>
  <c r="U37" i="42"/>
  <c r="U35" i="42"/>
  <c r="U23" i="42"/>
  <c r="U20" i="42"/>
  <c r="U26" i="42"/>
  <c r="U21" i="42"/>
  <c r="U31" i="42"/>
  <c r="U27" i="42"/>
  <c r="U24" i="42"/>
  <c r="U33" i="42"/>
  <c r="G41" i="38"/>
  <c r="F41" i="38" s="1"/>
  <c r="L22" i="26"/>
  <c r="L42" i="26"/>
  <c r="V35" i="32"/>
  <c r="V27" i="32"/>
  <c r="V22" i="32"/>
  <c r="V30" i="32"/>
  <c r="V21" i="32"/>
  <c r="V34" i="32"/>
  <c r="V26" i="32"/>
  <c r="V29" i="32"/>
  <c r="V36" i="32"/>
  <c r="V33" i="32"/>
  <c r="V38" i="32"/>
  <c r="V37" i="32"/>
  <c r="V24" i="32"/>
  <c r="V20" i="32"/>
  <c r="V41" i="32" s="1"/>
  <c r="V23" i="32"/>
  <c r="V32" i="32"/>
  <c r="V25" i="32"/>
  <c r="V28" i="32"/>
  <c r="V31" i="32"/>
  <c r="O22" i="26" l="1"/>
  <c r="M22" i="26"/>
  <c r="N22" i="26"/>
  <c r="P22" i="26"/>
  <c r="M42" i="26"/>
  <c r="P42" i="26"/>
  <c r="O42" i="26"/>
  <c r="N42" i="26"/>
  <c r="P39" i="43" l="1"/>
  <c r="N39" i="43" l="1"/>
  <c r="M39" i="43" l="1"/>
  <c r="T39" i="43"/>
  <c r="N12" i="29"/>
  <c r="D12" i="29"/>
  <c r="C12" i="29" s="1"/>
  <c r="N18" i="29"/>
  <c r="D18" i="29" s="1"/>
  <c r="C18" i="29" s="1"/>
  <c r="N20" i="29"/>
  <c r="D20" i="29"/>
  <c r="C20" i="29" s="1"/>
  <c r="N21" i="29"/>
  <c r="D21" i="29" s="1"/>
  <c r="C21" i="29" s="1"/>
  <c r="N10" i="29"/>
  <c r="D10" i="29" s="1"/>
  <c r="C10" i="29" s="1"/>
  <c r="N11" i="29"/>
  <c r="D11" i="29" s="1"/>
  <c r="C11" i="29" s="1"/>
  <c r="N9" i="29"/>
  <c r="D9" i="29" s="1"/>
  <c r="C9" i="29" s="1"/>
  <c r="N13" i="29"/>
  <c r="D13" i="29" s="1"/>
  <c r="C13" i="29" s="1"/>
  <c r="N25" i="29"/>
  <c r="D25" i="29" s="1"/>
  <c r="C25" i="29" s="1"/>
  <c r="F46" i="27"/>
  <c r="H46" i="27" s="1"/>
  <c r="R26" i="26" s="1"/>
  <c r="G47" i="27"/>
  <c r="Q73" i="26" s="1"/>
  <c r="G14" i="28" s="1"/>
  <c r="N19" i="29"/>
  <c r="D19" i="29" s="1"/>
  <c r="C19" i="29" s="1"/>
  <c r="N8" i="29"/>
  <c r="D8" i="29" s="1"/>
  <c r="C8" i="29" s="1"/>
  <c r="H47" i="27" l="1"/>
  <c r="R45" i="26" s="1"/>
  <c r="L40" i="28"/>
  <c r="L39" i="28"/>
  <c r="L26" i="38" s="1"/>
  <c r="J27" i="27"/>
  <c r="R34" i="26"/>
  <c r="R99" i="26" s="1"/>
  <c r="R15" i="26"/>
  <c r="R25" i="26"/>
  <c r="R36" i="26"/>
  <c r="R32" i="26"/>
  <c r="R9" i="26"/>
  <c r="R31" i="26"/>
  <c r="R14" i="26"/>
  <c r="R24" i="26"/>
  <c r="R38" i="26"/>
  <c r="R28" i="26"/>
  <c r="R10" i="26"/>
  <c r="R35" i="26"/>
  <c r="R30" i="26"/>
  <c r="R23" i="26"/>
  <c r="R11" i="26"/>
  <c r="R12" i="26"/>
  <c r="R27" i="26"/>
  <c r="R13" i="26"/>
  <c r="R17" i="26"/>
  <c r="R16" i="26"/>
  <c r="R8" i="26"/>
  <c r="R29" i="26"/>
  <c r="R37" i="26"/>
  <c r="R33" i="26"/>
  <c r="R73" i="26"/>
  <c r="H14" i="28" s="1"/>
  <c r="R79" i="26"/>
  <c r="R77" i="26"/>
  <c r="R78" i="26"/>
  <c r="R46" i="26"/>
  <c r="R39" i="26"/>
  <c r="R22" i="26"/>
  <c r="R61" i="26"/>
  <c r="R62" i="26"/>
  <c r="R20" i="26"/>
  <c r="R82" i="26"/>
  <c r="R83" i="26"/>
  <c r="H15" i="28" s="1"/>
  <c r="R40" i="26"/>
  <c r="R19" i="26"/>
  <c r="R42" i="26"/>
  <c r="R41" i="26"/>
  <c r="R74" i="26"/>
  <c r="R76" i="26"/>
  <c r="R80" i="26"/>
  <c r="R44" i="26"/>
  <c r="R21" i="26"/>
  <c r="R75" i="26"/>
  <c r="R18" i="26"/>
  <c r="R85" i="26"/>
  <c r="R84" i="26"/>
  <c r="R43" i="26"/>
  <c r="R81" i="26"/>
  <c r="L27" i="38"/>
  <c r="N40" i="28"/>
  <c r="N27" i="38" s="1"/>
  <c r="N41" i="38" s="1"/>
  <c r="O40" i="28"/>
  <c r="O27" i="38" s="1"/>
  <c r="P40" i="28"/>
  <c r="P27" i="38" s="1"/>
  <c r="M40" i="28"/>
  <c r="Q83" i="26"/>
  <c r="G15" i="28" s="1"/>
  <c r="Q84" i="26"/>
  <c r="Q85" i="26"/>
  <c r="Q39" i="26"/>
  <c r="Q19" i="26"/>
  <c r="Q44" i="26"/>
  <c r="Q61" i="26"/>
  <c r="Q62" i="26"/>
  <c r="Q74" i="26"/>
  <c r="Q78" i="26"/>
  <c r="Q76" i="26"/>
  <c r="Q43" i="26"/>
  <c r="Q21" i="26"/>
  <c r="Q42" i="26"/>
  <c r="Q33" i="26"/>
  <c r="Q81" i="26"/>
  <c r="Q82" i="26"/>
  <c r="Q41" i="26"/>
  <c r="Q75" i="26"/>
  <c r="Q46" i="26"/>
  <c r="Q45" i="26"/>
  <c r="Q22" i="26"/>
  <c r="Q79" i="26"/>
  <c r="Q77" i="26"/>
  <c r="Q20" i="26"/>
  <c r="Q40" i="26"/>
  <c r="Q80" i="26"/>
  <c r="Q18" i="26"/>
  <c r="M39" i="28"/>
  <c r="P39" i="28"/>
  <c r="P26" i="38" s="1"/>
  <c r="G46" i="27"/>
  <c r="O39" i="28" l="1"/>
  <c r="O26" i="38" s="1"/>
  <c r="N39" i="28"/>
  <c r="N26" i="38" s="1"/>
  <c r="N40" i="38" s="1"/>
  <c r="P40" i="38"/>
  <c r="M26" i="38"/>
  <c r="O8" i="43"/>
  <c r="O41" i="38"/>
  <c r="R97" i="26"/>
  <c r="R96" i="26"/>
  <c r="H11" i="28"/>
  <c r="R91" i="26"/>
  <c r="R94" i="26"/>
  <c r="F49" i="27" s="1"/>
  <c r="H49" i="27" s="1"/>
  <c r="R93" i="26"/>
  <c r="F48" i="27" s="1"/>
  <c r="H48" i="27" s="1"/>
  <c r="R47" i="26" s="1"/>
  <c r="H8" i="28"/>
  <c r="P41" i="38"/>
  <c r="G11" i="28"/>
  <c r="Q97" i="26"/>
  <c r="Q96" i="26"/>
  <c r="Q14" i="26"/>
  <c r="Q24" i="26"/>
  <c r="Q25" i="26"/>
  <c r="Q36" i="26"/>
  <c r="Q23" i="26"/>
  <c r="Q26" i="26"/>
  <c r="Q37" i="26"/>
  <c r="Q27" i="26"/>
  <c r="Q38" i="26"/>
  <c r="Q28" i="26"/>
  <c r="Q16" i="26"/>
  <c r="Q12" i="26"/>
  <c r="Q30" i="26"/>
  <c r="Q29" i="26"/>
  <c r="Q10" i="26"/>
  <c r="Q17" i="26"/>
  <c r="Q11" i="26"/>
  <c r="Q34" i="26"/>
  <c r="Q99" i="26" s="1"/>
  <c r="Q31" i="26"/>
  <c r="Q9" i="26"/>
  <c r="Q32" i="26"/>
  <c r="Q15" i="26"/>
  <c r="Q8" i="26"/>
  <c r="Q35" i="26"/>
  <c r="Q13" i="26"/>
  <c r="M27" i="38"/>
  <c r="P8" i="43"/>
  <c r="K27" i="27"/>
  <c r="M27" i="27"/>
  <c r="N27" i="27"/>
  <c r="L27" i="27"/>
  <c r="O40" i="38" l="1"/>
  <c r="G33" i="27"/>
  <c r="K33" i="27" s="1"/>
  <c r="G34" i="27"/>
  <c r="K34" i="27" s="1"/>
  <c r="O24" i="43"/>
  <c r="O34" i="43"/>
  <c r="O23" i="43"/>
  <c r="O29" i="43"/>
  <c r="O20" i="43"/>
  <c r="O35" i="43"/>
  <c r="O22" i="43"/>
  <c r="O30" i="43"/>
  <c r="O26" i="43"/>
  <c r="O21" i="43"/>
  <c r="O27" i="43"/>
  <c r="O33" i="43"/>
  <c r="O28" i="43"/>
  <c r="O36" i="43"/>
  <c r="O32" i="43"/>
  <c r="O25" i="43"/>
  <c r="O31" i="43"/>
  <c r="O37" i="43"/>
  <c r="O19" i="43"/>
  <c r="H34" i="27"/>
  <c r="L34" i="27" s="1"/>
  <c r="H33" i="27"/>
  <c r="L33" i="27" s="1"/>
  <c r="P29" i="43"/>
  <c r="P35" i="43"/>
  <c r="P33" i="43"/>
  <c r="P20" i="43"/>
  <c r="P26" i="43"/>
  <c r="P19" i="43"/>
  <c r="P40" i="43" s="1"/>
  <c r="P21" i="43"/>
  <c r="P27" i="43"/>
  <c r="P25" i="43"/>
  <c r="P31" i="43"/>
  <c r="P32" i="43"/>
  <c r="P30" i="43"/>
  <c r="P36" i="43"/>
  <c r="P23" i="43"/>
  <c r="P22" i="43"/>
  <c r="P28" i="43"/>
  <c r="P37" i="43"/>
  <c r="P34" i="43"/>
  <c r="P24" i="43"/>
  <c r="Q94" i="26"/>
  <c r="E49" i="27" s="1"/>
  <c r="G49" i="27" s="1"/>
  <c r="G8" i="28"/>
  <c r="Q93" i="26"/>
  <c r="E48" i="27" s="1"/>
  <c r="G48" i="27" s="1"/>
  <c r="Q47" i="26" s="1"/>
  <c r="Q91" i="26"/>
  <c r="H16" i="28"/>
  <c r="B17" i="31" s="1"/>
  <c r="C17" i="31"/>
  <c r="M40" i="38"/>
  <c r="L40" i="38" s="1"/>
  <c r="J34" i="27"/>
  <c r="N34" i="27" s="1"/>
  <c r="J33" i="27"/>
  <c r="N33" i="27" s="1"/>
  <c r="M41" i="38"/>
  <c r="L41" i="38" s="1"/>
  <c r="I34" i="27"/>
  <c r="M34" i="27" s="1"/>
  <c r="I33" i="27"/>
  <c r="M33" i="27" s="1"/>
  <c r="R52" i="26"/>
  <c r="R50" i="26"/>
  <c r="R95" i="26" s="1"/>
  <c r="F50" i="27" s="1"/>
  <c r="H50" i="27" s="1"/>
  <c r="R51" i="26"/>
  <c r="R53" i="26"/>
  <c r="C15" i="31" l="1"/>
  <c r="G15" i="31" s="1"/>
  <c r="M24" i="28"/>
  <c r="G16" i="28"/>
  <c r="B15" i="31" s="1"/>
  <c r="M26" i="28"/>
  <c r="Q51" i="26"/>
  <c r="Q50" i="26"/>
  <c r="Q95" i="26" s="1"/>
  <c r="E50" i="27" s="1"/>
  <c r="G50" i="27" s="1"/>
  <c r="Q52" i="26"/>
  <c r="Q53" i="26"/>
  <c r="N66" i="26"/>
  <c r="N65" i="26"/>
  <c r="N67" i="26"/>
  <c r="N63" i="26"/>
  <c r="N64" i="26"/>
  <c r="O65" i="26"/>
  <c r="O64" i="26"/>
  <c r="O67" i="26"/>
  <c r="O66" i="26"/>
  <c r="O63" i="26"/>
  <c r="O71" i="26"/>
  <c r="O72" i="26"/>
  <c r="O70" i="26"/>
  <c r="O69" i="26"/>
  <c r="P67" i="26"/>
  <c r="P64" i="26"/>
  <c r="P65" i="26"/>
  <c r="P66" i="26"/>
  <c r="P63" i="26"/>
  <c r="N71" i="26"/>
  <c r="N70" i="26"/>
  <c r="N72" i="26"/>
  <c r="N69" i="26"/>
  <c r="M71" i="26"/>
  <c r="M72" i="26"/>
  <c r="M70" i="26"/>
  <c r="M69" i="26"/>
  <c r="R49" i="26"/>
  <c r="R48" i="26"/>
  <c r="P71" i="26"/>
  <c r="P72" i="26"/>
  <c r="P70" i="26"/>
  <c r="P69" i="26"/>
  <c r="H17" i="31"/>
  <c r="I17" i="31" s="1"/>
  <c r="G17" i="31"/>
  <c r="M67" i="26"/>
  <c r="M66" i="26"/>
  <c r="M65" i="26"/>
  <c r="M64" i="26"/>
  <c r="M63" i="26"/>
  <c r="R70" i="26" l="1"/>
  <c r="Q70" i="26"/>
  <c r="K9" i="43"/>
  <c r="L9" i="43" s="1"/>
  <c r="N26" i="28"/>
  <c r="N13" i="38" s="1"/>
  <c r="K8" i="43"/>
  <c r="L8" i="43" s="1"/>
  <c r="M13" i="38"/>
  <c r="Q72" i="26"/>
  <c r="R72" i="26"/>
  <c r="M98" i="26"/>
  <c r="C12" i="28"/>
  <c r="C37" i="28" s="1"/>
  <c r="N98" i="26"/>
  <c r="D12" i="28"/>
  <c r="F37" i="28" s="1"/>
  <c r="P96" i="26"/>
  <c r="F11" i="28"/>
  <c r="P97" i="26"/>
  <c r="J30" i="27" s="1"/>
  <c r="N30" i="27" s="1"/>
  <c r="P68" i="26" s="1"/>
  <c r="Q63" i="26"/>
  <c r="R63" i="26"/>
  <c r="R67" i="26"/>
  <c r="Q67" i="26"/>
  <c r="M96" i="26"/>
  <c r="M97" i="26"/>
  <c r="G30" i="27" s="1"/>
  <c r="K30" i="27" s="1"/>
  <c r="M68" i="26" s="1"/>
  <c r="C11" i="28"/>
  <c r="C35" i="28" s="1"/>
  <c r="R64" i="26"/>
  <c r="Q64" i="26"/>
  <c r="Q71" i="26"/>
  <c r="R71" i="26"/>
  <c r="Q66" i="26"/>
  <c r="R66" i="26"/>
  <c r="E12" i="28"/>
  <c r="J37" i="28" s="1"/>
  <c r="O98" i="26"/>
  <c r="O96" i="26"/>
  <c r="O97" i="26"/>
  <c r="I30" i="27" s="1"/>
  <c r="M30" i="27" s="1"/>
  <c r="O68" i="26" s="1"/>
  <c r="E11" i="28"/>
  <c r="J35" i="28" s="1"/>
  <c r="Q48" i="26"/>
  <c r="Q49" i="26"/>
  <c r="N24" i="28"/>
  <c r="N11" i="38" s="1"/>
  <c r="K7" i="43"/>
  <c r="O25" i="28"/>
  <c r="M11" i="38"/>
  <c r="N97" i="26"/>
  <c r="H30" i="27" s="1"/>
  <c r="L30" i="27" s="1"/>
  <c r="N68" i="26" s="1"/>
  <c r="N96" i="26"/>
  <c r="D11" i="28"/>
  <c r="F35" i="28" s="1"/>
  <c r="P98" i="26"/>
  <c r="Q69" i="26"/>
  <c r="F12" i="28"/>
  <c r="L37" i="28" s="1"/>
  <c r="R69" i="26"/>
  <c r="R65" i="26"/>
  <c r="Q65" i="26"/>
  <c r="F24" i="38" l="1"/>
  <c r="T10" i="41"/>
  <c r="H37" i="28"/>
  <c r="H24" i="38" s="1"/>
  <c r="I37" i="28"/>
  <c r="I24" i="38" s="1"/>
  <c r="G37" i="28"/>
  <c r="G24" i="38" s="1"/>
  <c r="M33" i="38"/>
  <c r="R68" i="26"/>
  <c r="Q68" i="26"/>
  <c r="N33" i="38"/>
  <c r="N42" i="38" s="1"/>
  <c r="H12" i="28"/>
  <c r="R98" i="26"/>
  <c r="F22" i="38"/>
  <c r="G35" i="28"/>
  <c r="G22" i="38" s="1"/>
  <c r="S10" i="41"/>
  <c r="I35" i="28"/>
  <c r="I22" i="38" s="1"/>
  <c r="H35" i="28"/>
  <c r="H22" i="38" s="1"/>
  <c r="F36" i="28"/>
  <c r="P25" i="28"/>
  <c r="P12" i="38" s="1"/>
  <c r="O12" i="38"/>
  <c r="C22" i="38"/>
  <c r="E35" i="28"/>
  <c r="E22" i="38" s="1"/>
  <c r="S10" i="32"/>
  <c r="D35" i="28"/>
  <c r="D22" i="38" s="1"/>
  <c r="L22" i="38"/>
  <c r="P35" i="28"/>
  <c r="P22" i="38" s="1"/>
  <c r="N35" i="28"/>
  <c r="N22" i="38" s="1"/>
  <c r="O35" i="28"/>
  <c r="O22" i="38" s="1"/>
  <c r="M35" i="28"/>
  <c r="L36" i="28"/>
  <c r="T10" i="32"/>
  <c r="D37" i="28"/>
  <c r="D24" i="38" s="1"/>
  <c r="C24" i="38"/>
  <c r="E37" i="28"/>
  <c r="E24" i="38" s="1"/>
  <c r="Q98" i="26"/>
  <c r="G12" i="28"/>
  <c r="L24" i="38"/>
  <c r="N37" i="28"/>
  <c r="N24" i="38" s="1"/>
  <c r="M37" i="28"/>
  <c r="O37" i="28"/>
  <c r="O24" i="38" s="1"/>
  <c r="P37" i="28"/>
  <c r="P24" i="38" s="1"/>
  <c r="K37" i="43"/>
  <c r="K34" i="43"/>
  <c r="K23" i="43"/>
  <c r="K35" i="43"/>
  <c r="K25" i="43"/>
  <c r="K21" i="43"/>
  <c r="K36" i="43"/>
  <c r="K24" i="43"/>
  <c r="K20" i="43"/>
  <c r="K32" i="43"/>
  <c r="K28" i="43"/>
  <c r="K19" i="43"/>
  <c r="K40" i="43" s="1"/>
  <c r="K31" i="43"/>
  <c r="K27" i="43"/>
  <c r="K30" i="43"/>
  <c r="K33" i="43"/>
  <c r="K29" i="43"/>
  <c r="K26" i="43"/>
  <c r="L7" i="43"/>
  <c r="K22" i="43"/>
  <c r="J22" i="38"/>
  <c r="S10" i="42"/>
  <c r="K35" i="28"/>
  <c r="K22" i="38" s="1"/>
  <c r="J36" i="28"/>
  <c r="J24" i="38"/>
  <c r="K37" i="28"/>
  <c r="K24" i="38" s="1"/>
  <c r="T10" i="42"/>
  <c r="N38" i="38" l="1"/>
  <c r="D38" i="38"/>
  <c r="C38" i="38" s="1"/>
  <c r="B38" i="38" s="1"/>
  <c r="D37" i="38"/>
  <c r="C37" i="38" s="1"/>
  <c r="B37" i="38" s="1"/>
  <c r="P46" i="28"/>
  <c r="Q56" i="28" s="1"/>
  <c r="P26" i="28"/>
  <c r="P13" i="38" s="1"/>
  <c r="O13" i="38"/>
  <c r="H36" i="28"/>
  <c r="H23" i="38" s="1"/>
  <c r="H37" i="38" s="1"/>
  <c r="S11" i="41"/>
  <c r="F23" i="38"/>
  <c r="G37" i="38"/>
  <c r="F37" i="38" s="1"/>
  <c r="M42" i="38"/>
  <c r="L33" i="38"/>
  <c r="L42" i="38" s="1"/>
  <c r="I38" i="38"/>
  <c r="S11" i="42"/>
  <c r="S35" i="42" s="1"/>
  <c r="K36" i="28"/>
  <c r="K23" i="38" s="1"/>
  <c r="J23" i="38"/>
  <c r="P38" i="38"/>
  <c r="T26" i="32"/>
  <c r="T38" i="32"/>
  <c r="T30" i="32"/>
  <c r="T37" i="32"/>
  <c r="T21" i="32"/>
  <c r="T28" i="32"/>
  <c r="T23" i="32"/>
  <c r="T20" i="32"/>
  <c r="T41" i="32" s="1"/>
  <c r="T33" i="32"/>
  <c r="T35" i="32"/>
  <c r="T22" i="32"/>
  <c r="T24" i="32"/>
  <c r="T36" i="32"/>
  <c r="T29" i="32"/>
  <c r="T31" i="32"/>
  <c r="T32" i="32"/>
  <c r="T34" i="32"/>
  <c r="T25" i="32"/>
  <c r="T27" i="32"/>
  <c r="N37" i="38"/>
  <c r="S28" i="32"/>
  <c r="S31" i="32"/>
  <c r="S34" i="32"/>
  <c r="S24" i="32"/>
  <c r="S32" i="32"/>
  <c r="S36" i="32"/>
  <c r="S22" i="32"/>
  <c r="S38" i="32"/>
  <c r="S37" i="32"/>
  <c r="S35" i="32"/>
  <c r="S30" i="32"/>
  <c r="S29" i="32"/>
  <c r="S27" i="32"/>
  <c r="S25" i="32"/>
  <c r="S23" i="32"/>
  <c r="S21" i="32"/>
  <c r="S26" i="32"/>
  <c r="S20" i="32"/>
  <c r="S41" i="32" s="1"/>
  <c r="S33" i="32"/>
  <c r="H38" i="38"/>
  <c r="O38" i="38"/>
  <c r="E38" i="38"/>
  <c r="L23" i="38"/>
  <c r="O36" i="28"/>
  <c r="O23" i="38" s="1"/>
  <c r="O37" i="38" s="1"/>
  <c r="M36" i="28"/>
  <c r="P37" i="38"/>
  <c r="E37" i="38"/>
  <c r="Q58" i="28"/>
  <c r="Q41" i="28" s="1"/>
  <c r="I37" i="38"/>
  <c r="T21" i="41"/>
  <c r="T27" i="41"/>
  <c r="T33" i="41"/>
  <c r="T26" i="41"/>
  <c r="T29" i="41"/>
  <c r="T38" i="41"/>
  <c r="T34" i="41"/>
  <c r="T36" i="41"/>
  <c r="T28" i="41"/>
  <c r="T20" i="41"/>
  <c r="T42" i="41" s="1"/>
  <c r="T24" i="41"/>
  <c r="T30" i="41"/>
  <c r="T32" i="41"/>
  <c r="T22" i="41"/>
  <c r="T35" i="41"/>
  <c r="T25" i="41"/>
  <c r="T31" i="41"/>
  <c r="T37" i="41"/>
  <c r="T23" i="41"/>
  <c r="T27" i="42"/>
  <c r="T24" i="42"/>
  <c r="T35" i="42"/>
  <c r="T29" i="42"/>
  <c r="T23" i="42"/>
  <c r="T31" i="42"/>
  <c r="T22" i="42"/>
  <c r="T32" i="42"/>
  <c r="T28" i="42"/>
  <c r="T21" i="42"/>
  <c r="T33" i="42"/>
  <c r="T38" i="42"/>
  <c r="T37" i="42"/>
  <c r="T36" i="42"/>
  <c r="T30" i="42"/>
  <c r="T25" i="42"/>
  <c r="T26" i="42"/>
  <c r="T20" i="42"/>
  <c r="T40" i="42" s="1"/>
  <c r="T34" i="42"/>
  <c r="S20" i="43"/>
  <c r="S19" i="43"/>
  <c r="S30" i="43"/>
  <c r="S28" i="43"/>
  <c r="L30" i="43"/>
  <c r="L20" i="43"/>
  <c r="L28" i="43"/>
  <c r="L21" i="43"/>
  <c r="L27" i="43"/>
  <c r="L31" i="43"/>
  <c r="L29" i="43"/>
  <c r="L35" i="43"/>
  <c r="L37" i="43"/>
  <c r="S21" i="43"/>
  <c r="S26" i="43"/>
  <c r="S25" i="43"/>
  <c r="S35" i="43"/>
  <c r="L25" i="43"/>
  <c r="L33" i="43"/>
  <c r="L19" i="43"/>
  <c r="S32" i="43"/>
  <c r="S37" i="43"/>
  <c r="S31" i="43"/>
  <c r="S27" i="43"/>
  <c r="L34" i="43"/>
  <c r="L22" i="43"/>
  <c r="L26" i="43"/>
  <c r="T26" i="43" s="1"/>
  <c r="S29" i="43"/>
  <c r="S24" i="43"/>
  <c r="S23" i="43"/>
  <c r="S33" i="43"/>
  <c r="L36" i="43"/>
  <c r="L23" i="43"/>
  <c r="S36" i="43"/>
  <c r="L24" i="43"/>
  <c r="L32" i="43"/>
  <c r="S22" i="43"/>
  <c r="S34" i="43"/>
  <c r="K38" i="38"/>
  <c r="J38" i="38" s="1"/>
  <c r="N8" i="43"/>
  <c r="M24" i="38"/>
  <c r="M22" i="38"/>
  <c r="M8" i="43"/>
  <c r="P33" i="38"/>
  <c r="P42" i="38" s="1"/>
  <c r="S32" i="41"/>
  <c r="S33" i="41"/>
  <c r="S34" i="41"/>
  <c r="S22" i="41"/>
  <c r="S38" i="41"/>
  <c r="S36" i="41"/>
  <c r="S26" i="41"/>
  <c r="S27" i="41"/>
  <c r="S28" i="41"/>
  <c r="S29" i="41"/>
  <c r="S37" i="41"/>
  <c r="S31" i="41"/>
  <c r="S25" i="41"/>
  <c r="S23" i="41"/>
  <c r="S21" i="41"/>
  <c r="S24" i="41"/>
  <c r="S20" i="41"/>
  <c r="S42" i="41" s="1"/>
  <c r="S30" i="41"/>
  <c r="S35" i="41"/>
  <c r="G38" i="38"/>
  <c r="F38" i="38" s="1"/>
  <c r="T23" i="43" l="1"/>
  <c r="T34" i="43"/>
  <c r="T37" i="43"/>
  <c r="S37" i="42"/>
  <c r="T32" i="43"/>
  <c r="T36" i="43"/>
  <c r="T35" i="43"/>
  <c r="T21" i="43"/>
  <c r="S24" i="42"/>
  <c r="S28" i="42"/>
  <c r="T24" i="43"/>
  <c r="S20" i="42"/>
  <c r="S40" i="42" s="1"/>
  <c r="S21" i="42"/>
  <c r="T19" i="43"/>
  <c r="T40" i="43" s="1"/>
  <c r="L40" i="43"/>
  <c r="T33" i="43"/>
  <c r="T29" i="43"/>
  <c r="T28" i="43"/>
  <c r="S26" i="42"/>
  <c r="S34" i="42"/>
  <c r="S27" i="42"/>
  <c r="S31" i="42"/>
  <c r="M38" i="38"/>
  <c r="L38" i="38" s="1"/>
  <c r="N34" i="43"/>
  <c r="N31" i="43"/>
  <c r="N20" i="43"/>
  <c r="N32" i="43"/>
  <c r="N22" i="43"/>
  <c r="N37" i="43"/>
  <c r="N30" i="43"/>
  <c r="N27" i="43"/>
  <c r="N19" i="43"/>
  <c r="N40" i="43" s="1"/>
  <c r="N21" i="43"/>
  <c r="N26" i="43"/>
  <c r="N25" i="43"/>
  <c r="N24" i="43"/>
  <c r="N29" i="43"/>
  <c r="N35" i="43"/>
  <c r="N36" i="43"/>
  <c r="N28" i="43"/>
  <c r="N33" i="43"/>
  <c r="N23" i="43"/>
  <c r="T22" i="43"/>
  <c r="T25" i="43"/>
  <c r="T31" i="43"/>
  <c r="T20" i="43"/>
  <c r="M9" i="43"/>
  <c r="M23" i="43" s="1"/>
  <c r="M23" i="38"/>
  <c r="S32" i="42"/>
  <c r="S30" i="42"/>
  <c r="S22" i="42"/>
  <c r="S36" i="42"/>
  <c r="S38" i="42"/>
  <c r="K37" i="38"/>
  <c r="J37" i="38" s="1"/>
  <c r="M37" i="38"/>
  <c r="L37" i="38" s="1"/>
  <c r="M22" i="43"/>
  <c r="M33" i="43"/>
  <c r="M30" i="43"/>
  <c r="T27" i="43"/>
  <c r="T30" i="43"/>
  <c r="O42" i="38"/>
  <c r="S29" i="42"/>
  <c r="S23" i="42"/>
  <c r="S33" i="42"/>
  <c r="S25" i="42"/>
  <c r="M28" i="43" l="1"/>
  <c r="M36" i="43"/>
  <c r="M24" i="43"/>
  <c r="D15" i="31"/>
  <c r="E15" i="31" s="1"/>
  <c r="H15" i="31" s="1"/>
  <c r="I15" i="31" s="1"/>
  <c r="M27" i="43"/>
  <c r="M19" i="43"/>
  <c r="M40" i="43" s="1"/>
  <c r="M35" i="43"/>
  <c r="M20" i="43"/>
  <c r="M31" i="43"/>
  <c r="M32" i="43"/>
  <c r="M25" i="43"/>
  <c r="M29" i="43"/>
  <c r="M34" i="43"/>
  <c r="M37" i="43"/>
  <c r="M26" i="43"/>
  <c r="M21" i="43"/>
  <c r="Q33" i="38"/>
  <c r="Q42" i="38" s="1"/>
  <c r="L34" i="38" l="1"/>
</calcChain>
</file>

<file path=xl/sharedStrings.xml><?xml version="1.0" encoding="utf-8"?>
<sst xmlns="http://schemas.openxmlformats.org/spreadsheetml/2006/main" count="2329" uniqueCount="587">
  <si>
    <t>DISTRIBUTIENETBEHEERDER :</t>
  </si>
  <si>
    <t>ONDERNEMINGSNUMMER:</t>
  </si>
  <si>
    <t>In het kader van volgende reguleringsperiode:</t>
  </si>
  <si>
    <t>van</t>
  </si>
  <si>
    <t>tot en met</t>
  </si>
  <si>
    <t>Berekende of overgenomen waarde waarvoor dus geen manuele input vereist is</t>
  </si>
  <si>
    <t>Distributienetbeheerder:</t>
  </si>
  <si>
    <t>AMR</t>
  </si>
  <si>
    <t>MMR</t>
  </si>
  <si>
    <t>Toeslagen</t>
  </si>
  <si>
    <t>Exogeen</t>
  </si>
  <si>
    <t>Totaal</t>
  </si>
  <si>
    <t>kW</t>
  </si>
  <si>
    <t>Reactieve energie</t>
  </si>
  <si>
    <t>kWh</t>
  </si>
  <si>
    <t>Netverliezen</t>
  </si>
  <si>
    <t>EUR</t>
  </si>
  <si>
    <t>Eenheid</t>
  </si>
  <si>
    <t>ODV</t>
  </si>
  <si>
    <t>Cel die geen toepassing vindt onder de huidige tariefstructuur</t>
  </si>
  <si>
    <t>%</t>
  </si>
  <si>
    <t>Tarief voor het beheer van het elektrisch systeem</t>
  </si>
  <si>
    <t>Naam distributienetbeheerder</t>
  </si>
  <si>
    <t>Endogeen</t>
  </si>
  <si>
    <t>Totaal budget</t>
  </si>
  <si>
    <t>Metertype</t>
  </si>
  <si>
    <t>€</t>
  </si>
  <si>
    <t>Afschrijvingen</t>
  </si>
  <si>
    <t>Afschrijvingen TRHS-net</t>
  </si>
  <si>
    <t>Afschrijvingen TRHS-aansluitingen en -meters</t>
  </si>
  <si>
    <t>Afschrijvingen MS-net</t>
  </si>
  <si>
    <t>Afschrijvingen TRLS-net</t>
  </si>
  <si>
    <t>Afschrijvingen LS-net</t>
  </si>
  <si>
    <t>Afschrijvingen OV-net</t>
  </si>
  <si>
    <t>Afschrijvingen rollend materieel, meubilair en andere uitrusting</t>
  </si>
  <si>
    <t>Afschrijvingen systeembeheer (telebeheer en dispatching)</t>
  </si>
  <si>
    <t>Waardeverminderingen op voorraden, bestellingen in uitvoering en handelsvorderingen</t>
  </si>
  <si>
    <t>Exploitatie TRHS-net</t>
  </si>
  <si>
    <t>Exploitatie TRHS-aansluitingen en -meters</t>
  </si>
  <si>
    <t>Exploitatie MS-net</t>
  </si>
  <si>
    <t>Exploitatie MS-aansluitingen en -meters</t>
  </si>
  <si>
    <t>Exploitatie TRLS-net</t>
  </si>
  <si>
    <t>Exploitatie TRLS-aansluitingen en -meters</t>
  </si>
  <si>
    <t>Exploitatie LS-net</t>
  </si>
  <si>
    <t>Exploitatie LS-aansluitingen en -meters</t>
  </si>
  <si>
    <t>Exploitatie systeembeheer</t>
  </si>
  <si>
    <t>Exploitatie OV-net</t>
  </si>
  <si>
    <t>Marge</t>
  </si>
  <si>
    <t>Exploitatie andere</t>
  </si>
  <si>
    <t>Kapitaalkostenvergoedingen</t>
  </si>
  <si>
    <t>Exploitatie databeheer</t>
  </si>
  <si>
    <t>Exploitatie netverliezen</t>
  </si>
  <si>
    <t>Transmissie</t>
  </si>
  <si>
    <t>Tarief voor het beheer en de ontwikkeling van de netwerkinfrastructuur - maandpiek voor afname</t>
  </si>
  <si>
    <t>Tarief voor het beheer en de ontwikkeling van de netwerkinfrastructuur - jaarpiek voor afname</t>
  </si>
  <si>
    <t>Tarief voor het beheer en de ontwikkeling van de netwerkinfrastructuur - ter beschikking gesteld vermogen voor afname</t>
  </si>
  <si>
    <t>Tarief voor de aanvullende afname of injectie van reactieve energie</t>
  </si>
  <si>
    <t>Tarief voor de vermogensreserves en de blackstart</t>
  </si>
  <si>
    <t>Tarief voor de marktintegratie</t>
  </si>
  <si>
    <t>Aansluitingstarieven</t>
  </si>
  <si>
    <t>Tarief voor openbare dienstverplichtingen voor de financiering van de aansluiting van offshore windturbineparken</t>
  </si>
  <si>
    <t>Tarief voor openbare dienstverplichtingen voor de financiering van groenestroomcertificaten</t>
  </si>
  <si>
    <t>Tarief voor openbare dienstverplichtingen voor de financiering van de strategische reserve</t>
  </si>
  <si>
    <t>Tarief voor openbare dienstverplichtingen voor de financiering van de steunmaatregelen voor hernieuwebare energie en warmtekrachtkoppeling in Vlaanderen</t>
  </si>
  <si>
    <t>Tarief voor openbare dienstverplichtingen voor de financiering van de maatregelen ter bevordering van rationeel energieverbruik in Vlaanderen</t>
  </si>
  <si>
    <t>Kapitaalkostenvergoeding voor regulatoire saldi</t>
  </si>
  <si>
    <t>Kapitaalkostenvergoeding voor RAB en NBK</t>
  </si>
  <si>
    <t>Afbouw van regulatoire saldi</t>
  </si>
  <si>
    <t>Afbouw van regulatoire saldi binnen de tariefcomponent 'Netgebruik'</t>
  </si>
  <si>
    <t>Afbouw van regulatoire saldi binnen de tariefcomponent 'Openbare dienstverplichtingen'</t>
  </si>
  <si>
    <t>Afbouw van regulatoire saldi binnen de tariefcomponent 'Toeslagen'</t>
  </si>
  <si>
    <t>Afbouw van regulatoire saldi binnen de tariefcomponent 'Overige transmissie'</t>
  </si>
  <si>
    <t>Netto-operationele kosten</t>
  </si>
  <si>
    <t>Kosten inzake beschermde, gedropte klanten</t>
  </si>
  <si>
    <t>Kosten inzake niet-beschermde, gedropte klanten</t>
  </si>
  <si>
    <t>Kosten inzake openbare verlichting</t>
  </si>
  <si>
    <t>Kosten inzake warmtekrachtkoppeling</t>
  </si>
  <si>
    <t>Kosten inzake steuncertificaten</t>
  </si>
  <si>
    <t>Exploitatie reactieve energie</t>
  </si>
  <si>
    <t>Niet-gekapitaliseerde pensioenen</t>
  </si>
  <si>
    <t>Gemeentelijke retributies</t>
  </si>
  <si>
    <t>GRB-heffingen</t>
  </si>
  <si>
    <t>Tariefcomponent</t>
  </si>
  <si>
    <t>Netgebruik</t>
  </si>
  <si>
    <t>Databeheer</t>
  </si>
  <si>
    <t>Openbare dienstverplichtingen</t>
  </si>
  <si>
    <t>Overige transmissie</t>
  </si>
  <si>
    <t>Subactiviteit</t>
  </si>
  <si>
    <t>Distributie</t>
  </si>
  <si>
    <t>Direct</t>
  </si>
  <si>
    <t>Indirect</t>
  </si>
  <si>
    <t>Capaciteitsgerelateerd</t>
  </si>
  <si>
    <t>Niet-capaciteitsgerelateerd</t>
  </si>
  <si>
    <t>Kostenindeling 1</t>
  </si>
  <si>
    <t>Kostenindeling 2</t>
  </si>
  <si>
    <t>Kostenindeling 3</t>
  </si>
  <si>
    <t>Kostenindeling 4</t>
  </si>
  <si>
    <t>Niet-recurrente opbrengsten</t>
  </si>
  <si>
    <t>Niet-recurrente kosten</t>
  </si>
  <si>
    <t>Kostenrubriek</t>
  </si>
  <si>
    <t>Verdeelsleutel</t>
  </si>
  <si>
    <t>Totale budget</t>
  </si>
  <si>
    <t>Afnameklanten op TRHS</t>
  </si>
  <si>
    <t>Afnameklanten op TRLS</t>
  </si>
  <si>
    <t>Injectieklanten op TRLS</t>
  </si>
  <si>
    <t>Injectieklanten op LS</t>
  </si>
  <si>
    <t>Relatief aandeel</t>
  </si>
  <si>
    <t>Klantengroep</t>
  </si>
  <si>
    <t>x</t>
  </si>
  <si>
    <t>Tariefdrager</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</si>
  <si>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</si>
  <si>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</si>
  <si>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</si>
  <si>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t>
    </r>
    <r>
      <rPr>
        <vertAlign val="subscript"/>
        <sz val="11"/>
        <color indexed="8"/>
        <rFont val="Calibri"/>
        <family val="2"/>
      </rPr>
      <t>gemMP</t>
    </r>
  </si>
  <si>
    <r>
      <t>vast</t>
    </r>
    <r>
      <rPr>
        <vertAlign val="subscript"/>
        <sz val="11"/>
        <color indexed="8"/>
        <rFont val="Calibri"/>
        <family val="2"/>
      </rPr>
      <t>net</t>
    </r>
  </si>
  <si>
    <r>
      <t>kWh</t>
    </r>
    <r>
      <rPr>
        <vertAlign val="subscript"/>
        <sz val="11"/>
        <color indexed="8"/>
        <rFont val="Calibri"/>
        <family val="2"/>
      </rPr>
      <t>afn</t>
    </r>
  </si>
  <si>
    <r>
      <t>kWh</t>
    </r>
    <r>
      <rPr>
        <vertAlign val="subscript"/>
        <sz val="11"/>
        <color indexed="8"/>
        <rFont val="Calibri"/>
        <family val="2"/>
      </rPr>
      <t>inj</t>
    </r>
  </si>
  <si>
    <r>
      <t>kVArh</t>
    </r>
    <r>
      <rPr>
        <vertAlign val="subscript"/>
        <sz val="11"/>
        <color indexed="8"/>
        <rFont val="Calibri"/>
        <family val="2"/>
      </rPr>
      <t>cap</t>
    </r>
  </si>
  <si>
    <r>
      <t>kVArh</t>
    </r>
    <r>
      <rPr>
        <vertAlign val="subscript"/>
        <sz val="11"/>
        <color indexed="8"/>
        <rFont val="Calibri"/>
        <family val="2"/>
      </rPr>
      <t>ind</t>
    </r>
  </si>
  <si>
    <t>Afnameklanten op LS met piekmeting</t>
  </si>
  <si>
    <t>Afnameklanten op LS met klassieke meter</t>
  </si>
  <si>
    <t>Prosumenten met terugdraaiende teller op LS</t>
  </si>
  <si>
    <t xml:space="preserve"> </t>
  </si>
  <si>
    <t>Totaal rekenvolume</t>
  </si>
  <si>
    <t>EAN</t>
  </si>
  <si>
    <t>Rekenvolume</t>
  </si>
  <si>
    <t>Productiemeters</t>
  </si>
  <si>
    <t>DM - MR1</t>
  </si>
  <si>
    <t>DM - MR3</t>
  </si>
  <si>
    <t>KM</t>
  </si>
  <si>
    <t>Maximum</t>
  </si>
  <si>
    <t>Niet-geïnd</t>
  </si>
  <si>
    <t>Afnameklanten op &gt;26-36 kV met AV ≥ 5MVA</t>
  </si>
  <si>
    <t>Afnameklanten op &gt;26-36 kV met AV &lt; 5MVA</t>
  </si>
  <si>
    <t>Budget Netgebruik</t>
  </si>
  <si>
    <t>Budget netgebruik</t>
  </si>
  <si>
    <t>Tariefverhoging</t>
  </si>
  <si>
    <t>Vóór toepassing van het maximumtarief</t>
  </si>
  <si>
    <t>Na toepassing van het maximumtarief</t>
  </si>
  <si>
    <t>Niet-geïnd budget (€)</t>
  </si>
  <si>
    <t>Na tariefverhoging</t>
  </si>
  <si>
    <t>Tariefverhoging (%)</t>
  </si>
  <si>
    <t>Na toepassing
van het maximumtarief</t>
  </si>
  <si>
    <t>∆ Budget Netgebruik</t>
  </si>
  <si>
    <t>DOELZOEKEN</t>
  </si>
  <si>
    <t>Max Injectie</t>
  </si>
  <si>
    <t>EAN-code</t>
  </si>
  <si>
    <t>Netgebruik (OST)</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</si>
  <si>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</si>
  <si>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</si>
  <si>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</si>
  <si>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kWh</t>
    </r>
    <r>
      <rPr>
        <vertAlign val="subscript"/>
        <sz val="11"/>
        <color indexed="8"/>
        <rFont val="Calibri"/>
        <family val="2"/>
      </rPr>
      <t>afn</t>
    </r>
  </si>
  <si>
    <t>Tarieven</t>
  </si>
  <si>
    <r>
      <t>kVA</t>
    </r>
    <r>
      <rPr>
        <vertAlign val="subscript"/>
        <sz val="11"/>
        <color indexed="8"/>
        <rFont val="Calibri"/>
        <family val="2"/>
      </rPr>
      <t>omvormer</t>
    </r>
  </si>
  <si>
    <t>Kosten inzake REG-acties</t>
  </si>
  <si>
    <t>Afschrijvingen immateriële activa</t>
  </si>
  <si>
    <t>Afschrijvingen administratieve gebouwen</t>
  </si>
  <si>
    <r>
      <t>kW</t>
    </r>
    <r>
      <rPr>
        <vertAlign val="subscript"/>
        <sz val="11"/>
        <color indexed="8"/>
        <rFont val="Calibri"/>
        <family val="2"/>
      </rPr>
      <t>omv</t>
    </r>
  </si>
  <si>
    <t>kWh_zonder TRHS</t>
  </si>
  <si>
    <t>TARIEFVOORSTEL PERIODIEKE DISTRIBUTIENETTARIEVEN</t>
  </si>
  <si>
    <t>RICHTLIJNEN BIJ HET INVULLEN EN DE INTERPRETATIE VAN HET RAPPORTERINGSMODEL</t>
  </si>
  <si>
    <t>LEGENDE CELKLEUREN</t>
  </si>
  <si>
    <t>OVERZICHT TABELLEN</t>
  </si>
  <si>
    <t>Assumpties</t>
  </si>
  <si>
    <t>TABEL 1: Budget per tariefcomponent voor gereguleerde activiteit 'elektriciteit'</t>
  </si>
  <si>
    <t>Tariefcomponten</t>
  </si>
  <si>
    <t>Budget voor exogene kosten</t>
  </si>
  <si>
    <t>Budget voor endogene kosten</t>
  </si>
  <si>
    <t>Exploitatie algemene diensten</t>
  </si>
  <si>
    <t>TABEL 2: Budget per energierichting, spanningsniveau en klantengroep voor gereguleerde activiteit 'elektriciteit'</t>
  </si>
  <si>
    <t>Verdeelsleutels</t>
  </si>
  <si>
    <t>Rekenvolumes</t>
  </si>
  <si>
    <t>VERDEELSLEUTELS</t>
  </si>
  <si>
    <t>Absolute waarde</t>
  </si>
  <si>
    <t>REKENVOLUMES</t>
  </si>
  <si>
    <t>Tarifaire bepalingen</t>
  </si>
  <si>
    <t>Deze bepaling geldt voor de afnameklanten op TRHS.</t>
  </si>
  <si>
    <t>Overeenkomstig paragraaf 11.5.3 punt 4 uit de tariefmethodologie 2021-2024.</t>
  </si>
  <si>
    <t>Overeenkomstig paragraaf 11.5.3 punt 6 uit de tariefmethodologie 2021-2024.</t>
  </si>
  <si>
    <t>Overeenkomstig paragraaf 11.5.3 punt 7 uit de tariefmethodologie 2021-2024.</t>
  </si>
  <si>
    <t>Deze bepaling geldt voor de afnameklanten op LS met piekmeting.</t>
  </si>
  <si>
    <t>Overeenkomstig paragraaf 11.5.3 punt 8 uit de tariefmethodologie 2021-2024.</t>
  </si>
  <si>
    <t>Deze bepaling geldt voor de afnameklanten op LS met klassieke meter.</t>
  </si>
  <si>
    <t>Overeenkomstig paragraaf 11.5.3 punt 13 uit de tariefmethodologie 2021-2024.</t>
  </si>
  <si>
    <t>Overeenkomstig paragraaf 11.5.3 punt 14 uit de tariefmethodologie 2021-2024.</t>
  </si>
  <si>
    <t>ASSUMPTIES</t>
  </si>
  <si>
    <t>Korting op ODV-tarief voor exclusief nacht :</t>
  </si>
  <si>
    <t>Met hierin:</t>
  </si>
  <si>
    <t>Het budget dat distributienetbeheerder i voor jaar j toewijst aan de tariefcomponent 'Netgebruik' en de klantengroep k;</t>
  </si>
  <si>
    <t>Deze tarifaire bepalingen kunnen ook in formulevorm weergegeven worden:</t>
  </si>
  <si>
    <t>Door de onderste twee gelijkheden te integreren in de bovenste gelijkheid, bekomen we:</t>
  </si>
  <si>
    <t>En als we vervolgens het (bij aanvang ongekende) tarief afzonderen:</t>
  </si>
  <si>
    <t>Bijkomende toelichting</t>
  </si>
  <si>
    <r>
      <t>2 x kVA</t>
    </r>
    <r>
      <rPr>
        <vertAlign val="subscript"/>
        <sz val="11"/>
        <color indexed="23"/>
        <rFont val="Calibri"/>
        <family val="2"/>
      </rPr>
      <t>TV</t>
    </r>
    <r>
      <rPr>
        <sz val="11"/>
        <color indexed="23"/>
        <rFont val="Calibri"/>
        <family val="2"/>
      </rPr>
      <t xml:space="preserve"> + 1,5 kW</t>
    </r>
    <r>
      <rPr>
        <vertAlign val="subscript"/>
        <sz val="11"/>
        <color indexed="23"/>
        <rFont val="Calibri"/>
        <family val="2"/>
      </rPr>
      <t>MP-TV</t>
    </r>
    <r>
      <rPr>
        <sz val="11"/>
        <color indexed="23"/>
        <rFont val="Calibri"/>
        <family val="2"/>
      </rPr>
      <t xml:space="preserve"> / 12</t>
    </r>
  </si>
  <si>
    <t>75% EAN + 25% kWh</t>
  </si>
  <si>
    <t>Hulplijnen</t>
  </si>
  <si>
    <t>Kosten 'Netgebruik' excl. afbouw van regulatoire saldi, kapitaalkostenvergoeding (voor gegarandeerde activa) en marge</t>
  </si>
  <si>
    <t>kVArh</t>
  </si>
  <si>
    <t xml:space="preserve">     kWh-tarieven</t>
  </si>
  <si>
    <t xml:space="preserve">Gem. omvormervermogen (in kW)     </t>
  </si>
  <si>
    <t xml:space="preserve">Gem. productievermogen (in kWp)     </t>
  </si>
  <si>
    <t xml:space="preserve">Gem. productie (in kWh)     </t>
  </si>
  <si>
    <t xml:space="preserve">Gem. injectie (in kWh)     </t>
  </si>
  <si>
    <t xml:space="preserve">Totaal bedrag (in euro)    </t>
  </si>
  <si>
    <t xml:space="preserve">Aanvullend capaciteitstarief (in euro/kW)    </t>
  </si>
  <si>
    <t>Maximumtarieven</t>
  </si>
  <si>
    <t>Totaal injectieklanten</t>
  </si>
  <si>
    <t>Totaal afnameklanten</t>
  </si>
  <si>
    <t>Totaal afname- en injectieklanten</t>
  </si>
  <si>
    <t>Injectieklanten op TRHS</t>
  </si>
  <si>
    <t>Doelzoeken op:</t>
  </si>
  <si>
    <t xml:space="preserve"> = 100%</t>
  </si>
  <si>
    <t>Te wijzigen waarde:</t>
  </si>
  <si>
    <r>
      <t>kVA</t>
    </r>
    <r>
      <rPr>
        <vertAlign val="subscript"/>
        <sz val="11"/>
        <color indexed="8"/>
        <rFont val="Calibri"/>
        <family val="2"/>
      </rPr>
      <t>TV</t>
    </r>
  </si>
  <si>
    <t>Noodvoeding?</t>
  </si>
  <si>
    <t>Netgebruik (excl. OST)</t>
  </si>
  <si>
    <r>
      <t>kWh</t>
    </r>
    <r>
      <rPr>
        <vertAlign val="subscript"/>
        <sz val="11"/>
        <color indexed="8"/>
        <rFont val="Calibri"/>
        <family val="2"/>
      </rPr>
      <t>afn</t>
    </r>
    <r>
      <rPr>
        <vertAlign val="subscript"/>
        <sz val="11"/>
        <color indexed="8"/>
        <rFont val="Calibri"/>
        <family val="2"/>
      </rPr>
      <t xml:space="preserve"> XN</t>
    </r>
  </si>
  <si>
    <r>
      <t>kWh</t>
    </r>
    <r>
      <rPr>
        <vertAlign val="subscript"/>
        <sz val="11"/>
        <color indexed="8"/>
        <rFont val="Calibri"/>
        <family val="2"/>
      </rPr>
      <t>afn</t>
    </r>
    <r>
      <rPr>
        <vertAlign val="subscript"/>
        <sz val="11"/>
        <color indexed="8"/>
        <rFont val="Calibri"/>
        <family val="2"/>
      </rPr>
      <t xml:space="preserve"> NU SU</t>
    </r>
  </si>
  <si>
    <r>
      <t>kWh</t>
    </r>
    <r>
      <rPr>
        <vertAlign val="subscript"/>
        <sz val="11"/>
        <color indexed="8"/>
        <rFont val="Calibri"/>
        <family val="2"/>
      </rPr>
      <t>afn</t>
    </r>
    <r>
      <rPr>
        <vertAlign val="subscript"/>
        <sz val="11"/>
        <color theme="1"/>
        <rFont val="Calibri"/>
        <family val="2"/>
        <scheme val="minor"/>
      </rPr>
      <t xml:space="preserve"> XN</t>
    </r>
  </si>
  <si>
    <t>TABEL 3: Tarieven vóór toepassing van de maximumtarieven</t>
  </si>
  <si>
    <t>TABEL 3: Tarieven na toepassing van de maximumtarieven</t>
  </si>
  <si>
    <t>TABEL 3: Tarieven vóór de toepassing van de maximumtarieven</t>
  </si>
  <si>
    <t>TABEL 4: Tarieven na de toepassing van de maximumtarieven</t>
  </si>
  <si>
    <t>Overeenkomstig paragraaf 10.2.2.1.1 uit de tariefmethodologie 2021-2024.</t>
  </si>
  <si>
    <t>ELEKTRICITEIT</t>
  </si>
  <si>
    <t xml:space="preserve">Periodieke distributienettarieven voor het jaar: </t>
  </si>
  <si>
    <t>Aangezien het betreffende tarief telkens in de teller als in de noemer voorkomt, hebben we het in bovenstaande gelijkheden laten wegvallen. Op deze manier kan het aandeel van elke tariefdrager eenduidig bepaald worden, onafhankelijk van het betreffende tarief.</t>
  </si>
  <si>
    <t>Afschrijvingen TRLS-aansluitingen en -meters</t>
  </si>
  <si>
    <t>Afschrijvingen LS-aansluitingen en -meters</t>
  </si>
  <si>
    <t>Saldi</t>
  </si>
  <si>
    <t>Enkel_LS</t>
  </si>
  <si>
    <t>Afname (x)</t>
  </si>
  <si>
    <t>Injectie (x)</t>
  </si>
  <si>
    <t>Afname (#)</t>
  </si>
  <si>
    <t>Injectie (#)</t>
  </si>
  <si>
    <t>Afname (%)</t>
  </si>
  <si>
    <t>Injectie (%)</t>
  </si>
  <si>
    <t>Energierichting</t>
  </si>
  <si>
    <t>CAPEX</t>
  </si>
  <si>
    <t>Enkel_Afname</t>
  </si>
  <si>
    <t>TRHS (x)</t>
  </si>
  <si>
    <t>MS (x)</t>
  </si>
  <si>
    <t>TRLS (x)</t>
  </si>
  <si>
    <t>LS (x)</t>
  </si>
  <si>
    <t>TRHS (#)</t>
  </si>
  <si>
    <t>MS (#)</t>
  </si>
  <si>
    <t>TRLS (#)</t>
  </si>
  <si>
    <t>LS (#)</t>
  </si>
  <si>
    <t>TRHS (%)</t>
  </si>
  <si>
    <t>MS (%)</t>
  </si>
  <si>
    <t>TRLS (%)</t>
  </si>
  <si>
    <t>LS (%)</t>
  </si>
  <si>
    <t>Spanningsniveau</t>
  </si>
  <si>
    <t>Afschrijvingen databeheer</t>
  </si>
  <si>
    <t>Toeslag voor de taksen op masten en sleuven in Vlaanderen</t>
  </si>
  <si>
    <t>Afschrijvingen MS-aansluitingen en -meters</t>
  </si>
  <si>
    <t>Verdeelsleutel 
energierichtingen</t>
  </si>
  <si>
    <t>Verdeelsleutel 
spanningsniveaus 
voor afname</t>
  </si>
  <si>
    <t>75%EAN+25%kWh_ODV</t>
  </si>
  <si>
    <t>75%EAN+25%kWh_TOE</t>
  </si>
  <si>
    <t>Afschrijvingen &gt;26-36kV-net</t>
  </si>
  <si>
    <t>Afschrijvingen &gt;26-36kV-aansluitingen en -meters</t>
  </si>
  <si>
    <t>Exploitatie &gt;26-36kV-net</t>
  </si>
  <si>
    <t>Exploitatie &gt;26-36kV-aansluitingen en -meters</t>
  </si>
  <si>
    <t>Het deel van bovenvermeld budget dat distributienetbeheerder i voor jaar j aan klantengroep k aanrekent op basis van het toegangsvermogen. Dit deel is gelijk aan het betreffende tarief (op jaarbasis) vermenigvuldigd met het rekenvolume;</t>
  </si>
  <si>
    <t>Het deel van bovenvermeld budget dat distributienetbeheerder i voor jaar j aan klantengroep k aanrekent op basis van de maandpiek. Dit deel is gelijk aan het betreffende tarief (op maandbasis) vermenigvuldigd met het rekenvolume;</t>
  </si>
  <si>
    <t>Het deel van bovenvermeld budget dat distributienetbeheerder i voor jaar j aan klantengroep k aanrekent op basis van het verschil tussen de maandpiek en het toegangsvermogen. Dit deel is gelijk aan het betreffende tarief (op maandbasis) vermenigvuldigd met het rekenvolume.</t>
  </si>
  <si>
    <t>Injectieklanten op &gt;26-36kV</t>
  </si>
  <si>
    <t>Deze bepaling geldt voor de afnameklanten op TRHS, &gt;26-36kV, 26-1kV en TRLS.</t>
  </si>
  <si>
    <t>Afnameklanten op 26-1kV</t>
  </si>
  <si>
    <t>Doorvoer op 26-1kV</t>
  </si>
  <si>
    <t>Injectieklanten op 26-1kV</t>
  </si>
  <si>
    <r>
      <t>kWh</t>
    </r>
    <r>
      <rPr>
        <vertAlign val="subscript"/>
        <sz val="11"/>
        <color theme="1"/>
        <rFont val="Calibri"/>
        <family val="2"/>
      </rPr>
      <t>afn</t>
    </r>
  </si>
  <si>
    <t>DM-MR1</t>
  </si>
  <si>
    <t>DM-MR3</t>
  </si>
  <si>
    <t>Afnameklanten 
op TRHS (∑)</t>
  </si>
  <si>
    <t>Afnameklanten 
op MS (∑)</t>
  </si>
  <si>
    <t>Afnameklanten op TRLS (∑)</t>
  </si>
  <si>
    <t>Injectieklanten (∑)</t>
  </si>
  <si>
    <t>Afnameklanten (∑)</t>
  </si>
  <si>
    <t>In te vullen door de distributienetbeheerder</t>
  </si>
  <si>
    <t>In te vullen door de VREG</t>
  </si>
  <si>
    <r>
      <t>Procentueel aandeel van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</si>
  <si>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Procentueel aandeel van kW</t>
    </r>
    <r>
      <rPr>
        <vertAlign val="subscript"/>
        <sz val="11"/>
        <color indexed="8"/>
        <rFont val="Calibri"/>
        <family val="2"/>
      </rPr>
      <t>MP</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</si>
  <si>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Aandeel van kW</t>
    </r>
    <r>
      <rPr>
        <vertAlign val="subscript"/>
        <sz val="11"/>
        <color indexed="8"/>
        <rFont val="Calibri"/>
        <family val="2"/>
      </rPr>
      <t xml:space="preserve">MP </t>
    </r>
    <r>
      <rPr>
        <sz val="11"/>
        <color indexed="8"/>
        <rFont val="Calibri"/>
        <family val="2"/>
      </rPr>
      <t>t.o.v. aandeel van</t>
    </r>
    <r>
      <rPr>
        <sz val="11"/>
        <color theme="1"/>
        <rFont val="Calibri"/>
        <family val="2"/>
        <scheme val="minor"/>
      </rPr>
      <t xml:space="preserve">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</si>
  <si>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Tarief voor kW</t>
    </r>
    <r>
      <rPr>
        <vertAlign val="subscript"/>
        <sz val="11"/>
        <color indexed="8"/>
        <rFont val="Calibri"/>
        <family val="2"/>
      </rPr>
      <t>MP-TV</t>
    </r>
    <r>
      <rPr>
        <sz val="11"/>
        <color theme="1"/>
        <rFont val="Calibri"/>
        <family val="2"/>
        <scheme val="minor"/>
      </rPr>
      <t xml:space="preserve"> t.o.v. tarief voor kVA</t>
    </r>
    <r>
      <rPr>
        <vertAlign val="subscript"/>
        <sz val="11"/>
        <color indexed="8"/>
        <rFont val="Calibri"/>
        <family val="2"/>
      </rPr>
      <t>TV</t>
    </r>
    <r>
      <rPr>
        <sz val="11"/>
        <color theme="1"/>
        <rFont val="Calibri"/>
        <family val="2"/>
        <scheme val="minor"/>
      </rPr>
      <t xml:space="preserve"> (beiden op jaarbasis)</t>
    </r>
  </si>
  <si>
    <r>
      <t>Procentueel aandeel van kW</t>
    </r>
    <r>
      <rPr>
        <vertAlign val="subscript"/>
        <sz val="11"/>
        <color indexed="8"/>
        <rFont val="Calibri"/>
        <family val="2"/>
      </rPr>
      <t>gem MP</t>
    </r>
    <r>
      <rPr>
        <sz val="11"/>
        <color theme="1"/>
        <rFont val="Calibri"/>
        <family val="2"/>
        <scheme val="minor"/>
      </rPr>
      <t xml:space="preserve"> in budget 'Netgebruik'</t>
    </r>
  </si>
  <si>
    <r>
      <t>Procentueel aandeel van kWh</t>
    </r>
    <r>
      <rPr>
        <vertAlign val="subscript"/>
        <sz val="11"/>
        <color theme="1"/>
        <rFont val="Calibri"/>
        <family val="2"/>
      </rPr>
      <t>afn</t>
    </r>
    <r>
      <rPr>
        <sz val="11"/>
        <color theme="1"/>
        <rFont val="Calibri"/>
        <family val="2"/>
        <scheme val="minor"/>
      </rPr>
      <t xml:space="preserve"> in budget 'Netgebruik'</t>
    </r>
  </si>
  <si>
    <r>
      <t>Tarief voor vast</t>
    </r>
    <r>
      <rPr>
        <vertAlign val="subscript"/>
        <sz val="11"/>
        <color theme="1"/>
        <rFont val="Calibri"/>
        <family val="2"/>
        <scheme val="minor"/>
      </rPr>
      <t>net</t>
    </r>
    <r>
      <rPr>
        <sz val="11"/>
        <color theme="1"/>
        <rFont val="Calibri"/>
        <family val="2"/>
        <scheme val="minor"/>
      </rPr>
      <t xml:space="preserve"> t.o.v. tarief voor kW</t>
    </r>
    <r>
      <rPr>
        <vertAlign val="subscript"/>
        <sz val="11"/>
        <color indexed="8"/>
        <rFont val="Calibri"/>
        <family val="2"/>
      </rPr>
      <t>gemMP</t>
    </r>
  </si>
  <si>
    <t>Consumptieprijsindex voor juli 2020</t>
  </si>
  <si>
    <t>Dimensionering van omvormer- t.o.v. piekvermogen</t>
  </si>
  <si>
    <t>Vollasturen / benuttiging</t>
  </si>
  <si>
    <t>Zelfconsumptie</t>
  </si>
  <si>
    <t>Factor inzake doorvoertarieven</t>
  </si>
  <si>
    <t>Maximale toename t.o.v. budget in 2020</t>
  </si>
  <si>
    <t>Budget 'Toeslagen' in 2020 toegewezen aan afnameklanten op TRHS</t>
  </si>
  <si>
    <t>Budget 'ODV' in 2020 toegewezen aan afnameklanten op TRHS</t>
  </si>
  <si>
    <t>ODV-tarief voor de financiering van de aansluiting van offshore windturbineparken</t>
  </si>
  <si>
    <t>ODV-tarief voor de financiering van groenestroomcertificaten</t>
  </si>
  <si>
    <t>ODV-tarief voor de financiering van de strategische reserve</t>
  </si>
  <si>
    <t>ODV-tarief voor de steunmaatregelen voor HE en WKK in Vlaanderen</t>
  </si>
  <si>
    <t>ODV-tarief voor de REG-maatregelen in Vlaanderen</t>
  </si>
  <si>
    <t>Op basis van deze gelijkheid kunnen we het procentueel aandeel van elke tariefdrager bepalen ten opzichte van het budget dat de distributienetbeheerder aan de tariefcomponent 'Netgebruik' en de afzonderlijke niet-LS klantengroepen toewijst:</t>
  </si>
  <si>
    <t>I. Met betrekking tot de tariefcomponent 'Netgebruik'</t>
  </si>
  <si>
    <t>I. Gelijkgestelde of één-op-één gerelateerde tarieven</t>
  </si>
  <si>
    <r>
      <t>II. Procentueel aandeel van kVA</t>
    </r>
    <r>
      <rPr>
        <b/>
        <u/>
        <vertAlign val="subscript"/>
        <sz val="11"/>
        <color theme="1"/>
        <rFont val="Calibri"/>
        <family val="2"/>
        <scheme val="minor"/>
      </rPr>
      <t>TV</t>
    </r>
    <r>
      <rPr>
        <b/>
        <u/>
        <sz val="11"/>
        <color theme="1"/>
        <rFont val="Calibri"/>
        <family val="2"/>
        <scheme val="minor"/>
      </rPr>
      <t>, kW</t>
    </r>
    <r>
      <rPr>
        <b/>
        <u/>
        <vertAlign val="subscript"/>
        <sz val="11"/>
        <color theme="1"/>
        <rFont val="Calibri"/>
        <family val="2"/>
      </rPr>
      <t>MP</t>
    </r>
    <r>
      <rPr>
        <b/>
        <u/>
        <sz val="11"/>
        <color theme="1"/>
        <rFont val="Calibri"/>
        <family val="2"/>
        <scheme val="minor"/>
      </rPr>
      <t xml:space="preserve"> en kW</t>
    </r>
    <r>
      <rPr>
        <b/>
        <u/>
        <vertAlign val="subscript"/>
        <sz val="11"/>
        <color theme="1"/>
        <rFont val="Calibri"/>
        <family val="2"/>
        <scheme val="minor"/>
      </rPr>
      <t>MP-TV</t>
    </r>
    <r>
      <rPr>
        <b/>
        <u/>
        <sz val="11"/>
        <color theme="1"/>
        <rFont val="Calibri"/>
        <family val="2"/>
        <scheme val="minor"/>
      </rPr>
      <t xml:space="preserve"> in budget 'Netgebruik' toegewezen aan niet-LS klanten</t>
    </r>
  </si>
  <si>
    <t>Zie de toelichting II hieronder.</t>
  </si>
  <si>
    <t>Afnameklanten op LS met piekmeting (∑)</t>
  </si>
  <si>
    <t>Afnameklanten op TRHS (∑)</t>
  </si>
  <si>
    <t>Afnameklanten op MS (∑)</t>
  </si>
  <si>
    <t>Afnameklanten op LS (∑)</t>
  </si>
  <si>
    <r>
      <t>kWh</t>
    </r>
    <r>
      <rPr>
        <vertAlign val="subscript"/>
        <sz val="11"/>
        <color indexed="8"/>
        <rFont val="Calibri"/>
        <family val="2"/>
      </rPr>
      <t>afn</t>
    </r>
    <r>
      <rPr>
        <vertAlign val="subscript"/>
        <sz val="11"/>
        <color theme="1"/>
        <rFont val="Calibri"/>
        <family val="2"/>
        <scheme val="minor"/>
      </rPr>
      <t xml:space="preserve"> - XN</t>
    </r>
  </si>
  <si>
    <r>
      <t>kWh</t>
    </r>
    <r>
      <rPr>
        <vertAlign val="subscript"/>
        <sz val="11"/>
        <color indexed="8"/>
        <rFont val="Calibri"/>
        <family val="2"/>
      </rPr>
      <t>afn</t>
    </r>
    <r>
      <rPr>
        <vertAlign val="subscript"/>
        <sz val="11"/>
        <color theme="1"/>
        <rFont val="Calibri"/>
        <family val="2"/>
        <scheme val="minor"/>
      </rPr>
      <t xml:space="preserve"> - NU</t>
    </r>
  </si>
  <si>
    <r>
      <t>kWh</t>
    </r>
    <r>
      <rPr>
        <vertAlign val="subscript"/>
        <sz val="11"/>
        <color theme="1"/>
        <rFont val="Calibri"/>
        <family val="2"/>
      </rPr>
      <t>afn - SU</t>
    </r>
  </si>
  <si>
    <t>SynchronePiek_TRHS</t>
  </si>
  <si>
    <t>SynchronePiek_MS</t>
  </si>
  <si>
    <t>SynchronePiek_TRLS</t>
  </si>
  <si>
    <t>SychronePiek_LS</t>
  </si>
  <si>
    <r>
      <t>kW</t>
    </r>
    <r>
      <rPr>
        <vertAlign val="subscript"/>
        <sz val="11"/>
        <color theme="1"/>
        <rFont val="Calibri"/>
        <family val="2"/>
      </rPr>
      <t>gemMP</t>
    </r>
  </si>
  <si>
    <r>
      <t>Afnameklanten op TRLS (</t>
    </r>
    <r>
      <rPr>
        <sz val="11"/>
        <rFont val="Calibri"/>
        <family val="2"/>
      </rPr>
      <t>∑</t>
    </r>
    <r>
      <rPr>
        <sz val="8.8000000000000007"/>
        <rFont val="Calibri"/>
        <family val="2"/>
      </rPr>
      <t>)</t>
    </r>
  </si>
  <si>
    <t>Kapitaalkostenvergoeding voor steuncertificatenvoorraad</t>
  </si>
  <si>
    <t>Verdeelsleutel 
klantengroepen 
voor afname op LS</t>
  </si>
  <si>
    <t>- ODV financiering GSC</t>
  </si>
  <si>
    <t>Afnameklanten  op TRHS (∑)</t>
  </si>
  <si>
    <t>Injectieklanten  op &gt;26-36kV</t>
  </si>
  <si>
    <t>Werkblad</t>
  </si>
  <si>
    <t>Niet-geïnd budget (%)</t>
  </si>
  <si>
    <t>Budgetverhoging (€)</t>
  </si>
  <si>
    <t>Na budgetverhoging</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</si>
  <si>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</si>
  <si>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II. Met betrekking tot de tariefcomponent 'Databeheer'</t>
  </si>
  <si>
    <t>III. Met betrekking tot de tariefcomponenten 'Openbare dienstverplichtingen' en 'Toeslagen'</t>
  </si>
  <si>
    <t>IV. Met betrekking tot de tariefcomponent 'Overige transmissie'</t>
  </si>
  <si>
    <t>V. Met betrekking tot de aanvullende capaciteitstarieven</t>
  </si>
  <si>
    <t>VI. Met betrekking tot de doorvoertarieven</t>
  </si>
  <si>
    <t>ReactieveEnergie</t>
  </si>
  <si>
    <t>Openbare dienstverplichtingen excl. afbouw van regulatoire saldi</t>
  </si>
  <si>
    <t>Max Afname TRHS</t>
  </si>
  <si>
    <t>Max Afname MS</t>
  </si>
  <si>
    <t>Max Afname TRLS</t>
  </si>
  <si>
    <t>Max Afname LS</t>
  </si>
  <si>
    <t>Overige kosten</t>
  </si>
  <si>
    <t>Productiemeter</t>
  </si>
  <si>
    <r>
      <t>kWh</t>
    </r>
    <r>
      <rPr>
        <vertAlign val="subscript"/>
        <sz val="11"/>
        <color indexed="8"/>
        <rFont val="Calibri"/>
        <family val="2"/>
      </rPr>
      <t>afn</t>
    </r>
    <r>
      <rPr>
        <vertAlign val="subscript"/>
        <sz val="11"/>
        <color theme="1"/>
        <rFont val="Calibri"/>
        <family val="2"/>
        <scheme val="minor"/>
      </rPr>
      <t xml:space="preserve"> NU</t>
    </r>
  </si>
  <si>
    <r>
      <t>kWh</t>
    </r>
    <r>
      <rPr>
        <vertAlign val="subscript"/>
        <sz val="11"/>
        <color theme="1"/>
        <rFont val="Calibri"/>
        <family val="2"/>
      </rPr>
      <t>afn SU</t>
    </r>
  </si>
  <si>
    <r>
      <t>kWh</t>
    </r>
    <r>
      <rPr>
        <vertAlign val="subscript"/>
        <sz val="11"/>
        <color theme="1"/>
        <rFont val="Calibri"/>
        <family val="2"/>
      </rPr>
      <t>afn XN</t>
    </r>
  </si>
  <si>
    <r>
      <t>kVArh</t>
    </r>
    <r>
      <rPr>
        <vertAlign val="subscript"/>
        <sz val="11"/>
        <color theme="1"/>
        <rFont val="Calibri"/>
        <family val="2"/>
      </rPr>
      <t>ind</t>
    </r>
  </si>
  <si>
    <r>
      <t>kVArh</t>
    </r>
    <r>
      <rPr>
        <vertAlign val="subscript"/>
        <sz val="11"/>
        <color theme="1"/>
        <rFont val="Calibri"/>
        <family val="2"/>
        <scheme val="minor"/>
      </rPr>
      <t>cap</t>
    </r>
  </si>
  <si>
    <t>Toepassing van maximumtarieven - Afname TRHS</t>
  </si>
  <si>
    <t>Toepassing van maximumtarieven - Afname MS</t>
  </si>
  <si>
    <t>Toepassing van maximumtarieven - Afname TRLS</t>
  </si>
  <si>
    <t>Toepassing van maximumtarieven - Afname LS</t>
  </si>
  <si>
    <r>
      <t>kW</t>
    </r>
    <r>
      <rPr>
        <vertAlign val="subscript"/>
        <sz val="11"/>
        <color theme="1"/>
        <rFont val="Calibri"/>
        <family val="2"/>
        <scheme val="minor"/>
      </rPr>
      <t>gemMP</t>
    </r>
  </si>
  <si>
    <r>
      <t>kWh</t>
    </r>
    <r>
      <rPr>
        <vertAlign val="subscript"/>
        <sz val="11"/>
        <color theme="1"/>
        <rFont val="Calibri"/>
        <family val="2"/>
      </rPr>
      <t>inj</t>
    </r>
  </si>
  <si>
    <t>Afnameklanten op LS met piekmeting (x)</t>
  </si>
  <si>
    <t>Afnameklanten op LS met piekmeting (#)</t>
  </si>
  <si>
    <t>Afnameklanten op LS met piekmeting (%)</t>
  </si>
  <si>
    <t>- Niet-geïnd</t>
  </si>
  <si>
    <t>Retributies en GRB-heffing</t>
  </si>
  <si>
    <t>3.2.</t>
  </si>
  <si>
    <t>Lasten niet-gekapitaliseerde pensioenen</t>
  </si>
  <si>
    <t>3.1.</t>
  </si>
  <si>
    <t>3.</t>
  </si>
  <si>
    <t>Tarief openbare dienstverplichtingen</t>
  </si>
  <si>
    <t>2.</t>
  </si>
  <si>
    <t>Tarief databeheer</t>
  </si>
  <si>
    <t>1.3.</t>
  </si>
  <si>
    <t>Tarief systeembeheer</t>
  </si>
  <si>
    <t>1.2.</t>
  </si>
  <si>
    <t>Tarief overbrenging met het net</t>
  </si>
  <si>
    <t>1.1.</t>
  </si>
  <si>
    <t>Tarief gebruik van het distributienet</t>
  </si>
  <si>
    <t>1.</t>
  </si>
  <si>
    <t>TOTAAL</t>
  </si>
  <si>
    <t>ENDOGEEN</t>
  </si>
  <si>
    <t>EXOGEEN</t>
  </si>
  <si>
    <t>T6</t>
  </si>
  <si>
    <t>T4-T5</t>
  </si>
  <si>
    <t>T1-T2-T3</t>
  </si>
  <si>
    <t>DOORVOER</t>
  </si>
  <si>
    <t>KLANTENGROEP 3</t>
  </si>
  <si>
    <t>KLANTENGROEP 2</t>
  </si>
  <si>
    <t>KLANTENGROEP 1</t>
  </si>
  <si>
    <t>INJECTIE</t>
  </si>
  <si>
    <t>AFNAME</t>
  </si>
  <si>
    <t>TABEL 5: Budget per tariefcomponent voor gereguleerde activiteit 'aardgas'</t>
  </si>
  <si>
    <t>MD</t>
  </si>
  <si>
    <t xml:space="preserve">LD </t>
  </si>
  <si>
    <t>T5</t>
  </si>
  <si>
    <t>T4</t>
  </si>
  <si>
    <t>T3</t>
  </si>
  <si>
    <t>T2</t>
  </si>
  <si>
    <t>T1</t>
  </si>
  <si>
    <t>TELEGEMETEN KLANTEN</t>
  </si>
  <si>
    <t>NIET-TELEGEMETEN KLANTEN</t>
  </si>
  <si>
    <r>
      <t>kW</t>
    </r>
    <r>
      <rPr>
        <vertAlign val="subscript"/>
        <sz val="11"/>
        <rFont val="Calibri"/>
        <family val="2"/>
        <scheme val="minor"/>
      </rPr>
      <t>MAXCAP</t>
    </r>
  </si>
  <si>
    <r>
      <t>kWh</t>
    </r>
    <r>
      <rPr>
        <vertAlign val="subscript"/>
        <sz val="11"/>
        <rFont val="Calibri"/>
        <family val="2"/>
      </rPr>
      <t>inj</t>
    </r>
  </si>
  <si>
    <r>
      <t>kWh</t>
    </r>
    <r>
      <rPr>
        <vertAlign val="subscript"/>
        <sz val="11"/>
        <rFont val="Calibri"/>
        <family val="2"/>
      </rPr>
      <t>afn</t>
    </r>
  </si>
  <si>
    <t>YMR</t>
  </si>
  <si>
    <t>EUR/kWh</t>
  </si>
  <si>
    <r>
      <t xml:space="preserve">Maximumtarief </t>
    </r>
    <r>
      <rPr>
        <sz val="9"/>
        <color theme="1"/>
        <rFont val="Calibri"/>
        <family val="2"/>
        <scheme val="minor"/>
      </rPr>
      <t>(toegepast op som van 1.1 + 1.2 + 4 + 5 + 6 en n.v.t. op noodvoedingen)</t>
    </r>
  </si>
  <si>
    <t xml:space="preserve">     b) Tarief ODV - financiering van groenestroomcertificaten</t>
  </si>
  <si>
    <t>Bestaande uit:</t>
  </si>
  <si>
    <t xml:space="preserve">Tarieven m.b.t. transmissiekosten  </t>
  </si>
  <si>
    <t>Tarief voor de toeslagen</t>
  </si>
  <si>
    <t>Tarief voor de openbare dienstverplichtingen</t>
  </si>
  <si>
    <t xml:space="preserve">EUR/jaar </t>
  </si>
  <si>
    <t>Tarief voor het databeheer</t>
  </si>
  <si>
    <t>EUR/kVARh</t>
  </si>
  <si>
    <r>
      <t xml:space="preserve">Tarief voor overschrijding forfaitair toegelaten hoeveelheid
</t>
    </r>
    <r>
      <rPr>
        <sz val="9"/>
        <color theme="1"/>
        <rFont val="Calibri"/>
        <family val="2"/>
        <scheme val="minor"/>
      </rPr>
      <t>(toegepast wanneer de inductieve, resp. capacitieve afgenomen hoeveelheid reactieve energie de forfaitair toegelaten hoeveelheid overschrijdt)</t>
    </r>
  </si>
  <si>
    <r>
      <t xml:space="preserve">Forfaitair toegelaten hoeveelheid reactieve energie </t>
    </r>
    <r>
      <rPr>
        <sz val="9"/>
        <color theme="1"/>
        <rFont val="Calibri"/>
        <family val="2"/>
        <scheme val="minor"/>
      </rPr>
      <t>(% van de afgenomen hoeveelheid actieve energie op kwartierbasis)</t>
    </r>
  </si>
  <si>
    <t>Tarief voor de reactieve energie</t>
  </si>
  <si>
    <t>EUR/kW/maand</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</si>
  <si>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</si>
  <si>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1.3</t>
  </si>
  <si>
    <r>
      <t xml:space="preserve">Maandpiek </t>
    </r>
    <r>
      <rPr>
        <sz val="9"/>
        <color theme="1"/>
        <rFont val="Calibri"/>
        <family val="2"/>
        <scheme val="minor"/>
      </rPr>
      <t>(maximaal kwartiervermogen per maand)</t>
    </r>
  </si>
  <si>
    <t>1.2</t>
  </si>
  <si>
    <t>EUR/kVA/jaar</t>
  </si>
  <si>
    <r>
      <t xml:space="preserve">Toegangsvermogen </t>
    </r>
    <r>
      <rPr>
        <sz val="9"/>
        <color theme="1"/>
        <rFont val="Calibri"/>
        <family val="2"/>
        <scheme val="minor"/>
      </rPr>
      <t>(gereserveerd door de netgebruiker per jaar)</t>
    </r>
  </si>
  <si>
    <t>1.1</t>
  </si>
  <si>
    <t>Tarieven voor het netgebruik</t>
  </si>
  <si>
    <t xml:space="preserve">Afnemers rechtstreeks aangesloten op een transformator tussen het hoogspannings- en het middenspanningsnet </t>
  </si>
  <si>
    <t xml:space="preserve">Eenheid </t>
  </si>
  <si>
    <t xml:space="preserve">Tarief </t>
  </si>
  <si>
    <t>Trans HS</t>
  </si>
  <si>
    <t>AV &lt; 5 MVA</t>
  </si>
  <si>
    <t>AV ≥ 5 MVA</t>
  </si>
  <si>
    <r>
      <t xml:space="preserve">Onderscheid volgens aansluitingsvermogen </t>
    </r>
    <r>
      <rPr>
        <sz val="11"/>
        <color theme="1"/>
        <rFont val="Calibri"/>
        <family val="2"/>
      </rPr>
      <t>≥</t>
    </r>
    <r>
      <rPr>
        <i/>
        <sz val="11"/>
        <color theme="1"/>
        <rFont val="Calibri"/>
        <family val="2"/>
        <scheme val="minor"/>
      </rPr>
      <t xml:space="preserve"> 5 MVA en &lt; 5 MVA</t>
    </r>
  </si>
  <si>
    <t xml:space="preserve">Afnemers aangesloten op het netwerk met een nominale spanning groter dan 26 kV en tot en met 36 kV </t>
  </si>
  <si>
    <t>&gt; 26-36 kV</t>
  </si>
  <si>
    <t>Afnemers aangesloten op het netwerk met een nominale spanning tussen 26 en 1 kV</t>
  </si>
  <si>
    <t>26-1 kV</t>
  </si>
  <si>
    <t>kWh-tarief exclusief nacht</t>
  </si>
  <si>
    <t>kWh-tarief</t>
  </si>
  <si>
    <t>Tarief voor het netgebruik</t>
  </si>
  <si>
    <t>EUR/kW/jaar</t>
  </si>
  <si>
    <r>
      <t xml:space="preserve">Aanvullend capaciteitstarief voor prosumenten met terugdraaiende teller </t>
    </r>
    <r>
      <rPr>
        <sz val="9"/>
        <color theme="1"/>
        <rFont val="Calibri"/>
        <family val="2"/>
        <scheme val="minor"/>
      </rPr>
      <t>(aangerekend o.b.v. het maximaal AC-vermogen van de decentrale productie-eenheid)</t>
    </r>
  </si>
  <si>
    <r>
      <t>EUR/kWh</t>
    </r>
    <r>
      <rPr>
        <vertAlign val="subscript"/>
        <sz val="9"/>
        <color theme="1"/>
        <rFont val="Calibri"/>
        <family val="2"/>
        <scheme val="minor"/>
      </rPr>
      <t>netto</t>
    </r>
  </si>
  <si>
    <r>
      <t>EUR/kWh</t>
    </r>
    <r>
      <rPr>
        <vertAlign val="subscript"/>
        <sz val="11"/>
        <color theme="1"/>
        <rFont val="Calibri"/>
        <family val="2"/>
        <scheme val="minor"/>
      </rPr>
      <t>netto</t>
    </r>
  </si>
  <si>
    <r>
      <t xml:space="preserve">Tarief m.b.t. transmissiekosten </t>
    </r>
    <r>
      <rPr>
        <sz val="9"/>
        <color theme="1"/>
        <rFont val="Calibri"/>
        <family val="2"/>
        <scheme val="minor"/>
      </rPr>
      <t xml:space="preserve">(aangerekend o.b.v. de afgenomen hoeveelheid actieve energie ná compensatie ) </t>
    </r>
  </si>
  <si>
    <r>
      <t xml:space="preserve">Tarief voor de toeslagen </t>
    </r>
    <r>
      <rPr>
        <sz val="9"/>
        <color theme="1"/>
        <rFont val="Calibri"/>
        <family val="2"/>
        <scheme val="minor"/>
      </rPr>
      <t>(aangerekend o.b.v. de afgenomen hoeveelheid actieve energie ná compensatie )</t>
    </r>
  </si>
  <si>
    <r>
      <t xml:space="preserve">Tarief voor de openbare dienstverplichtingen </t>
    </r>
    <r>
      <rPr>
        <sz val="9"/>
        <color theme="1"/>
        <rFont val="Calibri"/>
        <family val="2"/>
        <scheme val="minor"/>
      </rPr>
      <t>(aangerekend o.b.v. de afgenomen hoeveelheid actieve energie ná compensatie )</t>
    </r>
  </si>
  <si>
    <t xml:space="preserve">Tarief m.b.t. transmissiekosten  </t>
  </si>
  <si>
    <t>(-)</t>
  </si>
  <si>
    <t xml:space="preserve">standaard tariefstructuur </t>
  </si>
  <si>
    <t xml:space="preserve">Afnemers rechtstreeks aangesloten op een transformator tussen het middenspannings- en het laagspanningsnet </t>
  </si>
  <si>
    <t>Trans LS</t>
  </si>
  <si>
    <t>EUR/jaar</t>
  </si>
  <si>
    <r>
      <t xml:space="preserve">Vaste term </t>
    </r>
    <r>
      <rPr>
        <sz val="9"/>
        <color theme="1"/>
        <rFont val="Calibri"/>
        <family val="2"/>
        <scheme val="minor"/>
      </rPr>
      <t>(in bedrag gelijk aan 2,50 kW x het tarief gemiddelde maandpiek van toepassing op LS afnemers met piekmeting)</t>
    </r>
  </si>
  <si>
    <r>
      <t xml:space="preserve">Maximumtarief </t>
    </r>
    <r>
      <rPr>
        <sz val="9"/>
        <color theme="1"/>
        <rFont val="Calibri"/>
        <family val="2"/>
        <scheme val="minor"/>
      </rPr>
      <t>(toegepast op som van 1 + 3 + 4 + 5, minimaal gelijk aan 2,50 kW x  het tarief gemiddelde maandpiek)</t>
    </r>
  </si>
  <si>
    <r>
      <t xml:space="preserve">Gemiddelde maandpiek </t>
    </r>
    <r>
      <rPr>
        <sz val="9"/>
        <color theme="1"/>
        <rFont val="Calibri"/>
        <family val="2"/>
        <scheme val="minor"/>
      </rPr>
      <t>(gemiddelde van de 12 laatste maandpieken (= maximaal kwartiervermogen per maand) waarbij, in geval een maandpiek kleiner is dan 2,50 kW, een minimumwaarde van 2,50 kW in rekening wordt genomen)</t>
    </r>
  </si>
  <si>
    <t>Afnemers aangesloten op het laagspanningsnetwerk (het netwerk met een nominale spanning lager dan 1 kV)</t>
  </si>
  <si>
    <t>LS</t>
  </si>
  <si>
    <r>
      <t xml:space="preserve">Forfaitair toegelaten hoeveelheid reactieve energie </t>
    </r>
    <r>
      <rPr>
        <sz val="9"/>
        <color theme="1"/>
        <rFont val="Calibri"/>
        <family val="2"/>
        <scheme val="minor"/>
      </rPr>
      <t>(% van de afgenomen hoeveelheid actieve energie)</t>
    </r>
  </si>
  <si>
    <r>
      <t xml:space="preserve">Toegangsvermogen </t>
    </r>
    <r>
      <rPr>
        <sz val="9"/>
        <color theme="1"/>
        <rFont val="Calibri"/>
        <family val="2"/>
        <scheme val="minor"/>
      </rPr>
      <t>(gereserveerd per jaar)</t>
    </r>
  </si>
  <si>
    <t>Koppelpunt op 26-1 kV</t>
  </si>
  <si>
    <t>Overdracht van energie tussen de distributienetbeheerders via de koppelpunten tussen hun distributienetten</t>
  </si>
  <si>
    <t>Doorvoer</t>
  </si>
  <si>
    <t>Uitlezing van productiemeter van de productie-installatie</t>
  </si>
  <si>
    <t>Berekend op basis van een maximumtarief van</t>
  </si>
  <si>
    <t>Maximumtarief</t>
  </si>
  <si>
    <t>Aanvullend capaciteitstarief voor prosumenten met terugdraaiende teller</t>
  </si>
  <si>
    <t>Tarieven voor de toeslagen</t>
  </si>
  <si>
    <t>kWh-tarief normaal</t>
  </si>
  <si>
    <t>Tarieven voor de openbare dienstverplichtingen</t>
  </si>
  <si>
    <t>Tarieven voor het databeheer</t>
  </si>
  <si>
    <r>
      <t>Tarief voor overschrijding forfaitair toegelaten hoeveelheid</t>
    </r>
    <r>
      <rPr>
        <sz val="9"/>
        <color theme="1"/>
        <rFont val="Calibri"/>
        <family val="2"/>
        <scheme val="minor"/>
      </rPr>
      <t xml:space="preserve">                                                                                                                                     </t>
    </r>
  </si>
  <si>
    <t xml:space="preserve">Forfaitair toegelaten hoeveelheid reactieve energie </t>
  </si>
  <si>
    <t>Tarieven voor de aanvullende afname van reactieve energie</t>
  </si>
  <si>
    <t xml:space="preserve">Vaste term </t>
  </si>
  <si>
    <t>Gemiddelde maandpiek</t>
  </si>
  <si>
    <t>LS - piekmeting</t>
  </si>
  <si>
    <t xml:space="preserve">Tarief voor overschrijding toegangsvermogen                                                                                                                                                                                                    </t>
  </si>
  <si>
    <t>Maandpiek</t>
  </si>
  <si>
    <t>Toegangsvermogen</t>
  </si>
  <si>
    <t>TRANS HS, &gt;26-36 kV, 26-1 kV, TRANS LS - piekmeting</t>
  </si>
  <si>
    <t>prosumenten met terugdraaiende teller</t>
  </si>
  <si>
    <t>klassieke meter</t>
  </si>
  <si>
    <t>piekmeting</t>
  </si>
  <si>
    <t>AV &lt; 5MVA</t>
  </si>
  <si>
    <t>TRANS LS</t>
  </si>
  <si>
    <t>26-1 KV</t>
  </si>
  <si>
    <t>&gt;26 - 36 kV</t>
  </si>
  <si>
    <t>TRANS HS</t>
  </si>
  <si>
    <t>TABEL 6: Budget per energierichting en klantengroep voor gereguleerde activiteit 'aardgas'</t>
  </si>
  <si>
    <t>TABEL 8: Rekenvolumes en  reconciliatie van budget voor gereguleerde activiteit 'aardgas'</t>
  </si>
  <si>
    <t>TABEL 7: Periodieke distributienettarieven voor gereguleerde activiteit 'aardgas'</t>
  </si>
  <si>
    <r>
      <t>kW</t>
    </r>
    <r>
      <rPr>
        <vertAlign val="subscript"/>
        <sz val="11"/>
        <color theme="1"/>
        <rFont val="Calibri"/>
        <family val="2"/>
      </rPr>
      <t>MAXCAP</t>
    </r>
  </si>
  <si>
    <t>Overige  lokale, provinciale, gewestelijke en federale belastingen, heffingen, toeslagen, bijdragen en retributies</t>
  </si>
  <si>
    <t>6)</t>
  </si>
  <si>
    <t>Rechtspersonenbelasting</t>
  </si>
  <si>
    <t>5)</t>
  </si>
  <si>
    <t>Lasten van niet-gekapitaliseerde pensioenen</t>
  </si>
  <si>
    <t>4)</t>
  </si>
  <si>
    <t>Bijdragen ter dekking van de verloren kosten</t>
  </si>
  <si>
    <t>3)</t>
  </si>
  <si>
    <t>Toeslagen ter dekking van de werkingskosten van de CREG</t>
  </si>
  <si>
    <t>2)</t>
  </si>
  <si>
    <t>Toeslagen of heffingen ter dekking van de openbare dienstverplichtingen</t>
  </si>
  <si>
    <t>1)</t>
  </si>
  <si>
    <t>V. Belastingen, heffingen, toeslagen, bijdragen en retributies</t>
  </si>
  <si>
    <t>IV. Tarieven voor de supplementaire diensten</t>
  </si>
  <si>
    <t>III. Tarieven voor de complementaire diensten</t>
  </si>
  <si>
    <t>II. Het tarief openbare dienstverplichtingen</t>
  </si>
  <si>
    <t>Jaaropname (o.a. digitale gasmeter G4 en G6 voor huishoudelijk en kleine ondernemingen)</t>
  </si>
  <si>
    <t xml:space="preserve">Het tarief voor het systeembeheer </t>
  </si>
  <si>
    <t>EUR/maxcap</t>
  </si>
  <si>
    <t xml:space="preserve">Capaciteit </t>
  </si>
  <si>
    <t xml:space="preserve">Proportionele term </t>
  </si>
  <si>
    <t>Vaste term</t>
  </si>
  <si>
    <t xml:space="preserve">Het basistarief voor overbrenging met het net </t>
  </si>
  <si>
    <t>I. De tarieven voor het gebruik van het distributienet</t>
  </si>
  <si>
    <t>&gt; 10 000 000</t>
  </si>
  <si>
    <t>&lt; 10 000 000</t>
  </si>
  <si>
    <t>&gt; 1 000 000</t>
  </si>
  <si>
    <t>150 001 - 1 000 000</t>
  </si>
  <si>
    <t>5 001 - 150 000</t>
  </si>
  <si>
    <t>0 - 5 000</t>
  </si>
  <si>
    <t>All-in tarief</t>
  </si>
  <si>
    <t>Jaarverbruik (kWh)</t>
  </si>
  <si>
    <t>LD</t>
  </si>
  <si>
    <t>Doorvervoer</t>
  </si>
  <si>
    <t xml:space="preserve">TELEGEMETEN KLANTEN </t>
  </si>
  <si>
    <t xml:space="preserve">NIET-TELEGEMETEN KLANTEN </t>
  </si>
  <si>
    <t>Afname</t>
  </si>
  <si>
    <t>Injectie</t>
  </si>
  <si>
    <t>Aanvullend capaciteitstarief</t>
  </si>
  <si>
    <t>AARDGAS</t>
  </si>
  <si>
    <t>TABEL 8: Rekenvolumes en reconciliatie van budget voor gereguleerde activiteit 'aardgas'</t>
  </si>
  <si>
    <t>TARIEFLIJSTEN</t>
  </si>
  <si>
    <t>ELEK Afname</t>
  </si>
  <si>
    <t>ELEK Afname Trans HS</t>
  </si>
  <si>
    <t>ELEK Afname &gt;26-36 kV</t>
  </si>
  <si>
    <t>ELEK Afname 26-1 kV</t>
  </si>
  <si>
    <t>ELEK Afname Trans LS</t>
  </si>
  <si>
    <t>ELEK Afname LS</t>
  </si>
  <si>
    <t>ELEK Injectie</t>
  </si>
  <si>
    <t>GAS Afname</t>
  </si>
  <si>
    <t>ELEK Afname Doorvoer</t>
  </si>
  <si>
    <t xml:space="preserve">     a) Tarief voor de overige transmissiekosten m.u.v. het tarief ODV vermeld in b)</t>
  </si>
  <si>
    <t xml:space="preserve">     a) Tarief voor de overige transmissiekosten m.u.v. het tarief ODV vermeld in b) </t>
  </si>
  <si>
    <t>Budgettair verschil - vaste tarieven voor de reactieve energie</t>
  </si>
  <si>
    <t>Budgettair verschil - geïndexeerde tarieven voor het databeheer</t>
  </si>
  <si>
    <t>Tarief voor hogere spanningsniveaus in 2021</t>
  </si>
  <si>
    <t>Tarief voor laagspanning met uitlezing van kwartiergegevens in 2021</t>
  </si>
  <si>
    <t>Tarief voor laagspanning met uitlezing op maand/jaarbasis in 2021</t>
  </si>
  <si>
    <t>Tarief voor productiemeters in 2021</t>
  </si>
  <si>
    <t>Doorvoer op LS met piekmeting</t>
  </si>
  <si>
    <t>Doorvoer op LS zonder piekmeting</t>
  </si>
  <si>
    <t>Afnameklanten met klassieke/terugdraaiende meter (∑)</t>
  </si>
  <si>
    <t>Gemiddeld omvormervermogen</t>
  </si>
  <si>
    <r>
      <t>kWh</t>
    </r>
    <r>
      <rPr>
        <vertAlign val="subscript"/>
        <sz val="16.5"/>
        <color theme="0" tint="-0.499984740745262"/>
        <rFont val="Calibri"/>
        <family val="2"/>
      </rPr>
      <t>afn</t>
    </r>
  </si>
  <si>
    <t>Afnameklanten met KM/TT (#)</t>
  </si>
  <si>
    <t>Afnameklanten met KM/TT (x)</t>
  </si>
  <si>
    <t>Afnameklanten met KM/TT (%)</t>
  </si>
  <si>
    <t>Kosten (en opbrengsten) inzake doorvoer - Overige kWh-componenten</t>
  </si>
  <si>
    <t>Kosten (en opbrengsten) inzake doorvoer - Toeslagen</t>
  </si>
  <si>
    <t>Kosten (en opbrengsten) inzake doorvoer - Beheer en ontwikkeling van de netwerkinfrastructuur</t>
  </si>
  <si>
    <t>Kosten (en opbrengsten) inzake doorvoer - Aanvullende afname of injectie van reactieve energie</t>
  </si>
  <si>
    <t>synchronePiek_TRHS</t>
  </si>
  <si>
    <t>- Overige transmissie (excl. GSC)</t>
  </si>
  <si>
    <r>
      <t xml:space="preserve">Overige transmissie </t>
    </r>
    <r>
      <rPr>
        <sz val="10"/>
        <color theme="1"/>
        <rFont val="Calibri"/>
        <family val="2"/>
      </rPr>
      <t>(ODV financiering GSC)</t>
    </r>
  </si>
  <si>
    <r>
      <t xml:space="preserve">Overige transmissie </t>
    </r>
    <r>
      <rPr>
        <sz val="10"/>
        <color theme="1"/>
        <rFont val="Calibri"/>
        <family val="2"/>
      </rPr>
      <t>(excl. GSC)</t>
    </r>
  </si>
  <si>
    <t>Degressiviteit?</t>
  </si>
  <si>
    <t>Transmissienetkosten 'Netgebruik'</t>
  </si>
  <si>
    <t>Hogere spanningsniveaus (Trans HS, &gt;26-36 kV, 26-1 kV, Trans LS)</t>
  </si>
  <si>
    <t>Laagspanning - meetregime: per kwartier</t>
  </si>
  <si>
    <t>Laagspanning - meetregime: maandelijks/jaarlijks</t>
  </si>
  <si>
    <t>GAS Injectie</t>
  </si>
  <si>
    <t>De klantengroepen waarvoor dezelfde of één-op-één gerelateerde tarieven gelden (zie paragraaf 11.5.3 punt 1, 5, 12 en 14), worden in de volgende tabbladen als één gezamenlijke groep behandelt.</t>
  </si>
  <si>
    <t>Overeenkomstig paragraaf 11.5.3 punt 10 uit de tariefmethodologie 2021-2024.</t>
  </si>
  <si>
    <t>Overeenkomstig paragraaf 11.5.3 punt 15 uit de tariefmethodologie 2021-2024.</t>
  </si>
  <si>
    <t>PROD</t>
  </si>
  <si>
    <t>Koppelpunt op LS digitale meter</t>
  </si>
  <si>
    <t>koppelpunt op LS klassieke meter</t>
  </si>
  <si>
    <t>LS - klassieke meter / prosumenten met terugdraaiende teller</t>
  </si>
  <si>
    <r>
      <t xml:space="preserve">Vaste term </t>
    </r>
    <r>
      <rPr>
        <sz val="9"/>
        <color theme="1"/>
        <rFont val="Calibri"/>
        <family val="2"/>
      </rPr>
      <t>(in bedrag gelijk aan 2,50 kW x het tarief gemiddelde maandpiek van toepassing op LS afnemers met piekmeting)</t>
    </r>
  </si>
  <si>
    <r>
      <t xml:space="preserve">kWh-tarief </t>
    </r>
    <r>
      <rPr>
        <sz val="9"/>
        <color theme="1"/>
        <rFont val="Calibri"/>
        <family val="2"/>
      </rPr>
      <t>(aangerekend o.b.v. de afgenomen hoeveelheid actieve energie ná compensatie)</t>
    </r>
  </si>
  <si>
    <t>digitale meter</t>
  </si>
  <si>
    <r>
      <t xml:space="preserve">Trans HS, &gt;26-36 kV, 26-1 kV, Trans LS, LS - piekmeting </t>
    </r>
    <r>
      <rPr>
        <sz val="9"/>
        <color theme="1"/>
        <rFont val="Calibri"/>
        <family val="2"/>
        <scheme val="minor"/>
      </rPr>
      <t>(m.u.v. prosumenten)</t>
    </r>
  </si>
  <si>
    <t>Deze bepaling geldt voor de prosumenten met een terugdraaiende teller op LS.</t>
  </si>
  <si>
    <t>* Correctie van een materiële vergissing</t>
  </si>
  <si>
    <t>EUR/kVA/maand</t>
  </si>
  <si>
    <t>of</t>
  </si>
  <si>
    <t xml:space="preserve">of   </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</si>
  <si>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</si>
  <si>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 xml:space="preserve">     a) Tarief voor de overige transmissiekosten 
          m.u.v. het tarief ODV vermeld in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</si>
</sst>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164" formatCode="_-* #,##0.00\ _€_-;\-* #,##0.00\ _€_-;_-* &quot;-&quot;??\ _€_-;_-@_-"/>
    <numFmt numFmtId="165" formatCode="0.0%"/>
    <numFmt numFmtId="166" formatCode="#,##0.0000000"/>
    <numFmt numFmtId="167" formatCode="#.##000"/>
    <numFmt numFmtId="168" formatCode="#.##0,"/>
    <numFmt numFmtId="169" formatCode="\$#,#00"/>
    <numFmt numFmtId="170" formatCode="\$#,"/>
    <numFmt numFmtId="171" formatCode="#,#00"/>
    <numFmt numFmtId="172" formatCode="_-* #,##0.000\ _€_-;\-* #,##0.000\ _€_-;_-* &quot;-&quot;??\ _€_-;_-@_-"/>
    <numFmt numFmtId="173" formatCode="_ * #,##0.00_ ;_ * \-#,##0.00_ ;_ * &quot;-&quot;??_ ;_ @_ "/>
    <numFmt numFmtId="174" formatCode="&quot;€&quot;\ #,##0.00_);\(&quot;€&quot;\ #,##0.00\)"/>
    <numFmt numFmtId="175" formatCode="%#,#00"/>
    <numFmt numFmtId="176" formatCode="[$€-2]\ #,##0.00"/>
    <numFmt numFmtId="177" formatCode="[$€-2]\ #,##0.0000000"/>
    <numFmt numFmtId="178" formatCode="0.0000000"/>
    <numFmt numFmtId="179" formatCode="#,##0.00\ \k\W"/>
    <numFmt numFmtId="180" formatCode="#,##0\ \h"/>
  </numFmts>
  <fonts count="91">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sz val="8"/>
      <name val="Arial"/>
      <family val="2"/>
    </font>
    <font>
      <i/>
      <sz val="10"/>
      <name val="Arial"/>
      <family val="2"/>
    </font>
    <font>
      <sz val="10"/>
      <color indexed="12"/>
      <name val="Arial"/>
      <family val="2"/>
    </font>
    <font>
      <b/>
      <sz val="8"/>
      <color indexed="10"/>
      <name val="Arial"/>
      <family val="2"/>
    </font>
    <font>
      <b/>
      <i/>
      <sz val="10"/>
      <name val="Arial"/>
      <family val="2"/>
    </font>
    <font>
      <b/>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sz val="8"/>
      <name val="Calibri"/>
      <family val="2"/>
    </font>
    <font>
      <vertAlign val="subscript"/>
      <sz val="11"/>
      <color indexed="8"/>
      <name val="Calibri"/>
      <family val="2"/>
    </font>
    <font>
      <sz val="11"/>
      <name val="Calibri"/>
      <family val="2"/>
    </font>
    <font>
      <sz val="8.8000000000000007"/>
      <name val="Calibri"/>
      <family val="2"/>
    </font>
    <font>
      <sz val="11"/>
      <color indexed="23"/>
      <name val="Calibri"/>
      <family val="2"/>
    </font>
    <font>
      <vertAlign val="subscript"/>
      <sz val="11"/>
      <color indexed="23"/>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b/>
      <sz val="8"/>
      <color theme="4" tint="-0.249977111117893"/>
      <name val="Arial"/>
      <family val="2"/>
    </font>
    <font>
      <sz val="11"/>
      <name val="Calibri"/>
      <family val="2"/>
      <scheme val="minor"/>
    </font>
    <font>
      <sz val="10"/>
      <color theme="1"/>
      <name val="Arial"/>
      <family val="2"/>
    </font>
    <font>
      <u/>
      <sz val="10"/>
      <color theme="0" tint="-0.499984740745262"/>
      <name val="Arial"/>
      <family val="2"/>
    </font>
    <font>
      <sz val="11"/>
      <color theme="0" tint="-0.499984740745262"/>
      <name val="Calibri"/>
      <family val="2"/>
      <scheme val="minor"/>
    </font>
    <font>
      <b/>
      <sz val="14"/>
      <color theme="1"/>
      <name val="Calibri"/>
      <family val="2"/>
      <scheme val="minor"/>
    </font>
    <font>
      <sz val="14"/>
      <color theme="1"/>
      <name val="Calibri"/>
      <family val="2"/>
      <scheme val="minor"/>
    </font>
    <font>
      <vertAlign val="subscript"/>
      <sz val="11"/>
      <color theme="1"/>
      <name val="Calibri"/>
      <family val="2"/>
      <scheme val="minor"/>
    </font>
    <font>
      <vertAlign val="subscript"/>
      <sz val="11"/>
      <color theme="1"/>
      <name val="Calibri"/>
      <family val="2"/>
    </font>
    <font>
      <sz val="11"/>
      <color rgb="FFFF0000"/>
      <name val="Calibri"/>
      <family val="2"/>
      <scheme val="minor"/>
    </font>
    <font>
      <b/>
      <u/>
      <vertAlign val="subscript"/>
      <sz val="11"/>
      <color theme="1"/>
      <name val="Calibri"/>
      <family val="2"/>
    </font>
    <font>
      <b/>
      <u/>
      <vertAlign val="subscript"/>
      <sz val="11"/>
      <color theme="1"/>
      <name val="Calibri"/>
      <family val="2"/>
      <scheme val="minor"/>
    </font>
    <font>
      <b/>
      <sz val="11"/>
      <name val="Calibri"/>
      <family val="2"/>
      <scheme val="minor"/>
    </font>
    <font>
      <b/>
      <u/>
      <sz val="11"/>
      <name val="Calibri"/>
      <family val="2"/>
      <scheme val="minor"/>
    </font>
    <font>
      <i/>
      <sz val="11"/>
      <name val="Calibri"/>
      <family val="2"/>
      <scheme val="minor"/>
    </font>
    <font>
      <vertAlign val="subscript"/>
      <sz val="11"/>
      <name val="Calibri"/>
      <family val="2"/>
      <scheme val="minor"/>
    </font>
    <font>
      <vertAlign val="subscript"/>
      <sz val="11"/>
      <name val="Calibri"/>
      <family val="2"/>
    </font>
    <font>
      <i/>
      <sz val="11"/>
      <color theme="1"/>
      <name val="Calibri"/>
      <family val="2"/>
      <scheme val="minor"/>
    </font>
    <font>
      <sz val="11"/>
      <color theme="1"/>
      <name val="Calibri"/>
      <family val="2"/>
    </font>
    <font>
      <b/>
      <sz val="12"/>
      <color theme="1"/>
      <name val="Arial"/>
      <family val="2"/>
    </font>
    <font>
      <vertAlign val="subscript"/>
      <sz val="9"/>
      <color theme="1"/>
      <name val="Calibri"/>
      <family val="2"/>
      <scheme val="minor"/>
    </font>
    <font>
      <sz val="12"/>
      <name val="Arial"/>
      <family val="2"/>
    </font>
    <font>
      <b/>
      <sz val="16"/>
      <name val="Arial"/>
      <family val="2"/>
    </font>
    <font>
      <vertAlign val="subscript"/>
      <sz val="16.5"/>
      <color theme="0" tint="-0.499984740745262"/>
      <name val="Calibri"/>
      <family val="2"/>
    </font>
    <font>
      <sz val="10"/>
      <color theme="1"/>
      <name val="Calibri"/>
      <family val="2"/>
    </font>
    <font>
      <sz val="11"/>
      <color theme="0"/>
      <name val="Calibri"/>
      <family val="2"/>
      <scheme val="minor"/>
    </font>
    <font>
      <sz val="9"/>
      <color theme="1"/>
      <name val="Calibri"/>
      <family val="2"/>
    </font>
    <font>
      <sz val="11"/>
      <color theme="8" tint="-0.249977111117893"/>
      <name val="Calibri"/>
      <family val="2"/>
      <scheme val="minor"/>
    </font>
    <font>
      <sz val="9"/>
      <color theme="8" tint="-0.249977111117893"/>
      <name val="Calibri"/>
      <family val="2"/>
      <scheme val="minor"/>
    </font>
    <font>
      <sz val="10"/>
      <color theme="0" tint="-0.499984740745262"/>
      <name val="Arial"/>
      <family val="2"/>
    </font>
  </fonts>
  <fills count="43">
    <fill>
      <patternFill patternType="none"/>
    </fill>
    <fill>
      <patternFill patternType="gray125"/>
    </fill>
    <fill>
      <patternFill patternType="solid">
        <fgColor indexed="47"/>
      </patternFill>
    </fill>
    <fill>
      <patternFill patternType="solid">
        <fgColor indexed="9"/>
      </patternFill>
    </fill>
    <fill>
      <patternFill patternType="solid">
        <fgColor indexed="45"/>
      </patternFill>
    </fill>
    <fill>
      <patternFill patternType="solid">
        <fgColor indexed="22"/>
      </patternFill>
    </fill>
    <fill>
      <patternFill patternType="solid">
        <fgColor indexed="15"/>
      </patternFill>
    </fill>
    <fill>
      <patternFill patternType="solid">
        <fgColor indexed="5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29"/>
      </patternFill>
    </fill>
    <fill>
      <patternFill patternType="solid">
        <fgColor indexed="10"/>
      </patternFill>
    </fill>
    <fill>
      <patternFill patternType="solid">
        <fgColor indexed="51"/>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theme="0"/>
      </patternFill>
    </fill>
    <fill>
      <patternFill patternType="solid">
        <fgColor rgb="FFFFFF99"/>
        <bgColor indexed="64"/>
      </patternFill>
    </fill>
    <fill>
      <patternFill patternType="lightUp">
        <bgColor rgb="FFFFFF99"/>
      </patternFill>
    </fill>
    <fill>
      <patternFill patternType="solid">
        <fgColor rgb="FFD0C9F1"/>
        <bgColor indexed="64"/>
      </patternFill>
    </fill>
    <fill>
      <patternFill patternType="solid">
        <fgColor theme="0"/>
        <bgColor theme="1"/>
      </patternFill>
    </fill>
    <fill>
      <patternFill patternType="solid">
        <fgColor theme="1"/>
        <bgColor indexed="64"/>
      </patternFill>
    </fill>
    <fill>
      <patternFill patternType="lightUp">
        <fgColor auto="1"/>
        <bgColor theme="0"/>
      </patternFill>
    </fill>
    <fill>
      <patternFill patternType="solid">
        <fgColor rgb="FFFFFF99"/>
        <bgColor rgb="FFFFC000"/>
      </patternFill>
    </fill>
    <fill>
      <patternFill patternType="lightUp">
        <fgColor auto="1"/>
        <bgColor rgb="FFFFFF99"/>
      </patternFill>
    </fill>
    <fill>
      <patternFill patternType="lightUp">
        <bgColor rgb="FFFFFFB3"/>
      </patternFill>
    </fill>
    <fill>
      <patternFill patternType="solid">
        <fgColor theme="0"/>
        <bgColor rgb="FFFFC000"/>
      </patternFill>
    </fill>
  </fills>
  <borders count="2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theme="0" tint="-0.499984740745262"/>
      </left>
      <right/>
      <top style="medium">
        <color theme="0" tint="-0.499984740745262"/>
      </top>
      <bottom style="hair">
        <color theme="0" tint="-0.499984740745262"/>
      </bottom>
      <diagonal/>
    </border>
    <border>
      <left style="double">
        <color theme="0" tint="-0.499984740745262"/>
      </left>
      <right style="double">
        <color theme="0" tint="-0.499984740745262"/>
      </right>
      <top style="medium">
        <color theme="0" tint="-0.499984740745262"/>
      </top>
      <bottom style="hair">
        <color theme="0" tint="-0.499984740745262"/>
      </bottom>
      <diagonal/>
    </border>
    <border>
      <left style="hair">
        <color indexed="64"/>
      </left>
      <right style="hair">
        <color indexed="64"/>
      </right>
      <top style="medium">
        <color theme="0" tint="-0.499984740745262"/>
      </top>
      <bottom style="hair">
        <color theme="0" tint="-0.499984740745262"/>
      </bottom>
      <diagonal/>
    </border>
    <border>
      <left style="hair">
        <color indexed="64"/>
      </left>
      <right style="double">
        <color theme="0" tint="-0.499984740745262"/>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style="double">
        <color theme="0" tint="-0.499984740745262"/>
      </left>
      <right style="double">
        <color theme="0" tint="-0.499984740745262"/>
      </right>
      <top style="hair">
        <color theme="0" tint="-0.499984740745262"/>
      </top>
      <bottom style="medium">
        <color theme="0" tint="-0.499984740745262"/>
      </bottom>
      <diagonal/>
    </border>
    <border>
      <left style="hair">
        <color indexed="64"/>
      </left>
      <right style="hair">
        <color indexed="64"/>
      </right>
      <top style="hair">
        <color theme="0" tint="-0.499984740745262"/>
      </top>
      <bottom style="medium">
        <color theme="0" tint="-0.499984740745262"/>
      </bottom>
      <diagonal/>
    </border>
    <border>
      <left style="hair">
        <color indexed="64"/>
      </left>
      <right style="double">
        <color theme="0" tint="-0.499984740745262"/>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medium">
        <color theme="0" tint="-0.499984740745262"/>
      </top>
      <bottom style="hair">
        <color theme="0" tint="-0.499984740745262"/>
      </bottom>
      <diagonal/>
    </border>
    <border>
      <left style="double">
        <color theme="0" tint="-0.499984740745262"/>
      </left>
      <right style="hair">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double">
        <color theme="0" tint="-0.499984740745262"/>
      </left>
      <right style="hair">
        <color theme="0" tint="-0.499984740745262"/>
      </right>
      <top style="hair">
        <color theme="0" tint="-0.499984740745262"/>
      </top>
      <bottom style="medium">
        <color theme="0" tint="-0.499984740745262"/>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double">
        <color auto="1"/>
      </left>
      <right style="hair">
        <color auto="1"/>
      </right>
      <top style="medium">
        <color theme="0" tint="-0.499984740745262"/>
      </top>
      <bottom style="hair">
        <color theme="0" tint="-0.499984740745262"/>
      </bottom>
      <diagonal/>
    </border>
    <border>
      <left style="hair">
        <color auto="1"/>
      </left>
      <right/>
      <top style="medium">
        <color theme="0" tint="-0.499984740745262"/>
      </top>
      <bottom style="hair">
        <color theme="0" tint="-0.499984740745262"/>
      </bottom>
      <diagonal/>
    </border>
    <border>
      <left style="double">
        <color auto="1"/>
      </left>
      <right style="hair">
        <color auto="1"/>
      </right>
      <top style="hair">
        <color theme="0" tint="-0.499984740745262"/>
      </top>
      <bottom style="hair">
        <color theme="0" tint="-0.499984740745262"/>
      </bottom>
      <diagonal/>
    </border>
    <border>
      <left style="hair">
        <color auto="1"/>
      </left>
      <right style="hair">
        <color auto="1"/>
      </right>
      <top style="hair">
        <color theme="0" tint="-0.499984740745262"/>
      </top>
      <bottom style="hair">
        <color theme="0" tint="-0.499984740745262"/>
      </bottom>
      <diagonal/>
    </border>
    <border>
      <left style="double">
        <color auto="1"/>
      </left>
      <right style="hair">
        <color auto="1"/>
      </right>
      <top style="hair">
        <color theme="0" tint="-0.499984740745262"/>
      </top>
      <bottom style="medium">
        <color theme="0" tint="-0.499984740745262"/>
      </bottom>
      <diagonal/>
    </border>
    <border>
      <left style="hair">
        <color auto="1"/>
      </left>
      <right/>
      <top style="hair">
        <color theme="0" tint="-0.499984740745262"/>
      </top>
      <bottom style="medium">
        <color theme="0" tint="-0.499984740745262"/>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double">
        <color indexed="64"/>
      </right>
      <top style="medium">
        <color auto="1"/>
      </top>
      <bottom style="medium">
        <color indexed="64"/>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double">
        <color indexed="64"/>
      </left>
      <right/>
      <top/>
      <bottom style="medium">
        <color indexed="64"/>
      </bottom>
      <diagonal/>
    </border>
    <border>
      <left style="double">
        <color indexed="64"/>
      </left>
      <right/>
      <top style="hair">
        <color indexed="64"/>
      </top>
      <bottom/>
      <diagonal/>
    </border>
    <border>
      <left/>
      <right style="double">
        <color indexed="64"/>
      </right>
      <top style="medium">
        <color auto="1"/>
      </top>
      <bottom/>
      <diagonal/>
    </border>
    <border>
      <left style="double">
        <color indexed="64"/>
      </left>
      <right style="double">
        <color indexed="64"/>
      </right>
      <top style="medium">
        <color indexed="64"/>
      </top>
      <bottom/>
      <diagonal/>
    </border>
    <border>
      <left style="double">
        <color indexed="64"/>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auto="1"/>
      </left>
      <right/>
      <top style="medium">
        <color auto="1"/>
      </top>
      <bottom/>
      <diagonal/>
    </border>
    <border>
      <left style="medium">
        <color indexed="64"/>
      </left>
      <right style="hair">
        <color indexed="64"/>
      </right>
      <top style="hair">
        <color indexed="64"/>
      </top>
      <bottom/>
      <diagonal/>
    </border>
    <border>
      <left/>
      <right style="hair">
        <color indexed="64"/>
      </right>
      <top style="medium">
        <color theme="0" tint="-0.499984740745262"/>
      </top>
      <bottom style="hair">
        <color theme="0" tint="-0.499984740745262"/>
      </bottom>
      <diagonal/>
    </border>
    <border>
      <left/>
      <right style="hair">
        <color indexed="64"/>
      </right>
      <top style="hair">
        <color theme="0" tint="-0.499984740745262"/>
      </top>
      <bottom style="medium">
        <color theme="0" tint="-0.499984740745262"/>
      </bottom>
      <diagonal/>
    </border>
    <border>
      <left/>
      <right/>
      <top style="medium">
        <color indexed="64"/>
      </top>
      <bottom style="medium">
        <color theme="0" tint="-0.499984740745262"/>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theme="0" tint="-0.499984740745262"/>
      </left>
      <right/>
      <top style="hair">
        <color theme="0" tint="-0.499984740745262"/>
      </top>
      <bottom/>
      <diagonal/>
    </border>
    <border>
      <left/>
      <right/>
      <top style="hair">
        <color theme="0" tint="-0.499984740745262"/>
      </top>
      <bottom/>
      <diagonal/>
    </border>
    <border>
      <left style="double">
        <color auto="1"/>
      </left>
      <right style="hair">
        <color auto="1"/>
      </right>
      <top style="hair">
        <color theme="0" tint="-0.499984740745262"/>
      </top>
      <bottom/>
      <diagonal/>
    </border>
    <border>
      <left style="hair">
        <color auto="1"/>
      </left>
      <right style="hair">
        <color auto="1"/>
      </right>
      <top style="hair">
        <color theme="0" tint="-0.499984740745262"/>
      </top>
      <bottom/>
      <diagonal/>
    </border>
    <border>
      <left style="double">
        <color theme="0" tint="-0.499984740745262"/>
      </left>
      <right style="hair">
        <color theme="0" tint="-0.499984740745262"/>
      </right>
      <top style="hair">
        <color theme="0" tint="-0.499984740745262"/>
      </top>
      <bottom/>
      <diagonal/>
    </border>
    <border>
      <left style="double">
        <color theme="0" tint="-0.499984740745262"/>
      </left>
      <right style="double">
        <color theme="0" tint="-0.499984740745262"/>
      </right>
      <top style="hair">
        <color theme="0" tint="-0.499984740745262"/>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diagonal/>
    </border>
    <border>
      <left style="hair">
        <color auto="1"/>
      </left>
      <right style="medium">
        <color indexed="64"/>
      </right>
      <top style="medium">
        <color auto="1"/>
      </top>
      <bottom/>
      <diagonal/>
    </border>
    <border>
      <left/>
      <right style="double">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hair">
        <color indexed="64"/>
      </bottom>
      <diagonal/>
    </border>
    <border>
      <left/>
      <right style="medium">
        <color indexed="64"/>
      </right>
      <top/>
      <bottom/>
      <diagonal/>
    </border>
    <border>
      <left/>
      <right style="medium">
        <color indexed="64"/>
      </right>
      <top style="hair">
        <color indexed="64"/>
      </top>
      <bottom/>
      <diagonal/>
    </border>
    <border>
      <left style="double">
        <color indexed="64"/>
      </left>
      <right/>
      <top/>
      <bottom/>
      <diagonal/>
    </border>
    <border>
      <left/>
      <right style="double">
        <color indexed="64"/>
      </right>
      <top/>
      <bottom style="hair">
        <color indexed="64"/>
      </bottom>
      <diagonal/>
    </border>
    <border>
      <left style="double">
        <color auto="1"/>
      </left>
      <right style="double">
        <color auto="1"/>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theme="0" tint="-0.499984740745262"/>
      </left>
      <right/>
      <top/>
      <bottom/>
      <diagonal/>
    </border>
    <border>
      <left style="double">
        <color theme="0" tint="-0.499984740745262"/>
      </left>
      <right style="double">
        <color theme="0" tint="-0.499984740745262"/>
      </right>
      <top/>
      <bottom/>
      <diagonal/>
    </border>
    <border>
      <left style="hair">
        <color indexed="64"/>
      </left>
      <right style="double">
        <color theme="0" tint="-0.499984740745262"/>
      </right>
      <top/>
      <bottom/>
      <diagonal/>
    </border>
    <border>
      <left/>
      <right style="medium">
        <color theme="0" tint="-0.499984740745262"/>
      </right>
      <top/>
      <bottom/>
      <diagonal/>
    </border>
    <border>
      <left style="double">
        <color theme="0" tint="-0.499984740745262"/>
      </left>
      <right style="hair">
        <color indexed="64"/>
      </right>
      <top style="medium">
        <color theme="0" tint="-0.499984740745262"/>
      </top>
      <bottom style="hair">
        <color theme="0" tint="-0.499984740745262"/>
      </bottom>
      <diagonal/>
    </border>
    <border>
      <left style="double">
        <color theme="0" tint="-0.499984740745262"/>
      </left>
      <right style="hair">
        <color indexed="64"/>
      </right>
      <top/>
      <bottom/>
      <diagonal/>
    </border>
    <border>
      <left style="double">
        <color theme="0" tint="-0.499984740745262"/>
      </left>
      <right style="hair">
        <color indexed="64"/>
      </right>
      <top style="hair">
        <color theme="0" tint="-0.499984740745262"/>
      </top>
      <bottom style="medium">
        <color theme="0" tint="-0.499984740745262"/>
      </bottom>
      <diagonal/>
    </border>
    <border>
      <left style="hair">
        <color indexed="64"/>
      </left>
      <right/>
      <top style="hair">
        <color theme="0" tint="-0.499984740745262"/>
      </top>
      <bottom style="hair">
        <color theme="0" tint="-0.499984740745262"/>
      </bottom>
      <diagonal/>
    </border>
    <border>
      <left style="hair">
        <color indexed="64"/>
      </left>
      <right/>
      <top style="hair">
        <color theme="0" tint="-0.499984740745262"/>
      </top>
      <bottom/>
      <diagonal/>
    </border>
    <border>
      <left style="hair">
        <color theme="0" tint="-0.499984740745262"/>
      </left>
      <right style="double">
        <color theme="0" tint="-0.499984740745262"/>
      </right>
      <top style="medium">
        <color theme="0" tint="-0.499984740745262"/>
      </top>
      <bottom style="hair">
        <color theme="0" tint="-0.499984740745262"/>
      </bottom>
      <diagonal/>
    </border>
    <border>
      <left style="double">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double">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medium">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style="medium">
        <color theme="0" tint="-0.499984740745262"/>
      </bottom>
      <diagonal/>
    </border>
    <border>
      <left style="double">
        <color theme="0" tint="-0.499984740745262"/>
      </left>
      <right style="medium">
        <color theme="0" tint="-0.499984740745262"/>
      </right>
      <top style="hair">
        <color theme="0" tint="-0.499984740745262"/>
      </top>
      <bottom style="medium">
        <color theme="0" tint="-0.499984740745262"/>
      </bottom>
      <diagonal/>
    </border>
  </borders>
  <cellStyleXfs count="269">
    <xf numFmtId="0" fontId="0" fillId="0" borderId="0"/>
    <xf numFmtId="0" fontId="2" fillId="0" borderId="0"/>
    <xf numFmtId="0" fontId="12" fillId="4" borderId="0" applyNumberFormat="0" applyBorder="0" applyAlignment="0" applyProtection="0"/>
    <xf numFmtId="0" fontId="13" fillId="5" borderId="1" applyNumberFormat="0" applyAlignment="0" applyProtection="0"/>
    <xf numFmtId="0" fontId="14" fillId="8" borderId="2" applyNumberFormat="0" applyAlignment="0" applyProtection="0"/>
    <xf numFmtId="167" fontId="44" fillId="0" borderId="0">
      <protection locked="0"/>
    </xf>
    <xf numFmtId="164" fontId="2" fillId="0" borderId="0" applyFont="0" applyFill="0" applyBorder="0" applyAlignment="0" applyProtection="0"/>
    <xf numFmtId="168" fontId="44" fillId="0" borderId="0">
      <protection locked="0"/>
    </xf>
    <xf numFmtId="169" fontId="44" fillId="0" borderId="0">
      <protection locked="0"/>
    </xf>
    <xf numFmtId="170" fontId="44" fillId="0" borderId="0">
      <protection locked="0"/>
    </xf>
    <xf numFmtId="0" fontId="44" fillId="0" borderId="0">
      <protection locked="0"/>
    </xf>
    <xf numFmtId="0" fontId="45" fillId="0" borderId="0" applyNumberForma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xf numFmtId="171" fontId="44" fillId="0" borderId="0">
      <protection locked="0"/>
    </xf>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6" fillId="0" borderId="0">
      <protection locked="0"/>
    </xf>
    <xf numFmtId="0" fontId="46" fillId="0" borderId="0">
      <protection locked="0"/>
    </xf>
    <xf numFmtId="0" fontId="10" fillId="0" borderId="0" applyNumberFormat="0" applyFill="0" applyBorder="0" applyAlignment="0" applyProtection="0">
      <alignment vertical="top"/>
      <protection locked="0"/>
    </xf>
    <xf numFmtId="0" fontId="20" fillId="2"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72"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73" fontId="47" fillId="0" borderId="0" applyFont="0" applyFill="0" applyBorder="0" applyAlignment="0" applyProtection="0"/>
    <xf numFmtId="174" fontId="2" fillId="0" borderId="0" applyFont="0" applyFill="0" applyBorder="0" applyAlignment="0" applyProtection="0"/>
    <xf numFmtId="165" fontId="47" fillId="0" borderId="0" applyFont="0" applyFill="0" applyBorder="0" applyAlignment="0" applyProtection="0"/>
    <xf numFmtId="173" fontId="47"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73" fontId="5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3" applyNumberFormat="0" applyFill="0" applyAlignment="0" applyProtection="0"/>
    <xf numFmtId="164" fontId="2" fillId="0" borderId="0" applyFont="0" applyFill="0" applyBorder="0" applyAlignment="0" applyProtection="0"/>
    <xf numFmtId="164" fontId="56" fillId="0" borderId="0" applyFont="0" applyFill="0" applyBorder="0" applyAlignment="0" applyProtection="0"/>
    <xf numFmtId="164" fontId="2" fillId="0" borderId="0" applyFont="0" applyFill="0" applyBorder="0" applyAlignment="0" applyProtection="0"/>
    <xf numFmtId="0" fontId="22" fillId="10"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2" fillId="0" borderId="0"/>
    <xf numFmtId="0" fontId="8" fillId="0" borderId="0"/>
    <xf numFmtId="0" fontId="2" fillId="11" borderId="7" applyNumberFormat="0" applyFont="0" applyAlignment="0" applyProtection="0"/>
    <xf numFmtId="0" fontId="48" fillId="0" borderId="0"/>
    <xf numFmtId="0" fontId="23" fillId="5" borderId="8" applyNumberFormat="0" applyAlignment="0" applyProtection="0"/>
    <xf numFmtId="175" fontId="44" fillId="0" borderId="0">
      <protection locked="0"/>
    </xf>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4" fillId="10" borderId="9" applyNumberFormat="0" applyProtection="0">
      <alignment vertical="center"/>
    </xf>
    <xf numFmtId="4" fontId="25" fillId="12" borderId="9" applyNumberFormat="0" applyProtection="0">
      <alignment vertical="center"/>
    </xf>
    <xf numFmtId="4" fontId="24" fillId="12" borderId="9" applyNumberFormat="0" applyProtection="0">
      <alignment horizontal="left" vertical="center" indent="1"/>
    </xf>
    <xf numFmtId="0" fontId="24" fillId="12" borderId="9" applyNumberFormat="0" applyProtection="0">
      <alignment horizontal="left" vertical="top" indent="1"/>
    </xf>
    <xf numFmtId="4" fontId="24" fillId="13" borderId="0" applyNumberFormat="0" applyProtection="0">
      <alignment horizontal="left" vertical="center" indent="1"/>
    </xf>
    <xf numFmtId="4" fontId="24" fillId="14" borderId="0" applyNumberFormat="0" applyProtection="0">
      <alignment horizontal="left" vertical="center" indent="1"/>
    </xf>
    <xf numFmtId="4" fontId="9" fillId="4" borderId="9" applyNumberFormat="0" applyProtection="0">
      <alignment horizontal="right" vertical="center"/>
    </xf>
    <xf numFmtId="4" fontId="9" fillId="15" borderId="9" applyNumberFormat="0" applyProtection="0">
      <alignment horizontal="right" vertical="center"/>
    </xf>
    <xf numFmtId="4" fontId="9" fillId="16" borderId="9" applyNumberFormat="0" applyProtection="0">
      <alignment horizontal="right" vertical="center"/>
    </xf>
    <xf numFmtId="4" fontId="9" fillId="17" borderId="9" applyNumberFormat="0" applyProtection="0">
      <alignment horizontal="right" vertical="center"/>
    </xf>
    <xf numFmtId="4" fontId="9" fillId="7" borderId="9" applyNumberFormat="0" applyProtection="0">
      <alignment horizontal="right" vertical="center"/>
    </xf>
    <xf numFmtId="4" fontId="9" fillId="18" borderId="9" applyNumberFormat="0" applyProtection="0">
      <alignment horizontal="right" vertical="center"/>
    </xf>
    <xf numFmtId="4" fontId="9" fillId="19" borderId="9" applyNumberFormat="0" applyProtection="0">
      <alignment horizontal="right" vertical="center"/>
    </xf>
    <xf numFmtId="4" fontId="9" fillId="20" borderId="9" applyNumberFormat="0" applyProtection="0">
      <alignment horizontal="right" vertical="center"/>
    </xf>
    <xf numFmtId="4" fontId="9" fillId="21" borderId="9" applyNumberFormat="0" applyProtection="0">
      <alignment horizontal="right" vertical="center"/>
    </xf>
    <xf numFmtId="4" fontId="24" fillId="22" borderId="10" applyNumberFormat="0" applyProtection="0">
      <alignment horizontal="left" vertical="center" indent="1"/>
    </xf>
    <xf numFmtId="4" fontId="9" fillId="23" borderId="0" applyNumberFormat="0" applyProtection="0">
      <alignment horizontal="left" vertical="center" indent="1"/>
    </xf>
    <xf numFmtId="4" fontId="26" fillId="24" borderId="0" applyNumberFormat="0" applyProtection="0">
      <alignment horizontal="left" vertical="center" indent="1"/>
    </xf>
    <xf numFmtId="4" fontId="9" fillId="14" borderId="9" applyNumberFormat="0" applyProtection="0">
      <alignment horizontal="right" vertical="center"/>
    </xf>
    <xf numFmtId="4" fontId="9" fillId="23" borderId="0" applyNumberFormat="0" applyProtection="0">
      <alignment horizontal="left" vertical="center" indent="1"/>
    </xf>
    <xf numFmtId="4" fontId="9" fillId="13" borderId="0" applyNumberFormat="0" applyProtection="0">
      <alignment horizontal="left" vertical="center"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13" borderId="9" applyNumberFormat="0" applyProtection="0">
      <alignment horizontal="left" vertical="center" indent="1"/>
    </xf>
    <xf numFmtId="0" fontId="2" fillId="13" borderId="9" applyNumberFormat="0" applyProtection="0">
      <alignment horizontal="left" vertical="top" indent="1"/>
    </xf>
    <xf numFmtId="0" fontId="2" fillId="25" borderId="9" applyNumberFormat="0" applyProtection="0">
      <alignment horizontal="left" vertical="center" indent="1"/>
    </xf>
    <xf numFmtId="0" fontId="2" fillId="25" borderId="9" applyNumberFormat="0" applyProtection="0">
      <alignment horizontal="left" vertical="top" indent="1"/>
    </xf>
    <xf numFmtId="0" fontId="2" fillId="26" borderId="9" applyNumberFormat="0" applyProtection="0">
      <alignment horizontal="left" vertical="center" indent="1"/>
    </xf>
    <xf numFmtId="0" fontId="2" fillId="26" borderId="9" applyNumberFormat="0" applyProtection="0">
      <alignment horizontal="left" vertical="top" indent="1"/>
    </xf>
    <xf numFmtId="0" fontId="2" fillId="3" borderId="11" applyNumberFormat="0">
      <protection locked="0"/>
    </xf>
    <xf numFmtId="4" fontId="9" fillId="27" borderId="9" applyNumberFormat="0" applyProtection="0">
      <alignment vertical="center"/>
    </xf>
    <xf numFmtId="4" fontId="27" fillId="27" borderId="9" applyNumberFormat="0" applyProtection="0">
      <alignment vertical="center"/>
    </xf>
    <xf numFmtId="4" fontId="9" fillId="27" borderId="9" applyNumberFormat="0" applyProtection="0">
      <alignment horizontal="left" vertical="center" indent="1"/>
    </xf>
    <xf numFmtId="0" fontId="9" fillId="27" borderId="9" applyNumberFormat="0" applyProtection="0">
      <alignment horizontal="left" vertical="top" indent="1"/>
    </xf>
    <xf numFmtId="4" fontId="9" fillId="23" borderId="9" applyNumberFormat="0" applyProtection="0">
      <alignment horizontal="right" vertical="center"/>
    </xf>
    <xf numFmtId="4" fontId="27" fillId="23" borderId="9" applyNumberFormat="0" applyProtection="0">
      <alignment horizontal="right" vertical="center"/>
    </xf>
    <xf numFmtId="4" fontId="9" fillId="14" borderId="9" applyNumberFormat="0" applyProtection="0">
      <alignment horizontal="left" vertical="center" indent="1"/>
    </xf>
    <xf numFmtId="4" fontId="9" fillId="14" borderId="9" applyNumberFormat="0" applyProtection="0">
      <alignment horizontal="left" vertical="center" indent="1"/>
    </xf>
    <xf numFmtId="0" fontId="9" fillId="13" borderId="9" applyNumberFormat="0" applyProtection="0">
      <alignment horizontal="left" vertical="top" indent="1"/>
    </xf>
    <xf numFmtId="4" fontId="28" fillId="6" borderId="0" applyNumberFormat="0" applyProtection="0">
      <alignment horizontal="left" vertical="center" indent="1"/>
    </xf>
    <xf numFmtId="4" fontId="29" fillId="23" borderId="9" applyNumberFormat="0" applyProtection="0">
      <alignment horizontal="right" vertical="center"/>
    </xf>
    <xf numFmtId="0" fontId="30"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56" fillId="0" borderId="0"/>
    <xf numFmtId="0" fontId="2"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8" fillId="0" borderId="0"/>
    <xf numFmtId="0" fontId="2" fillId="0" borderId="0"/>
    <xf numFmtId="0" fontId="2" fillId="0" borderId="0"/>
    <xf numFmtId="0" fontId="2" fillId="0" borderId="0"/>
    <xf numFmtId="0" fontId="57" fillId="0" borderId="0"/>
    <xf numFmtId="0" fontId="43" fillId="0" borderId="0"/>
    <xf numFmtId="0" fontId="8" fillId="0" borderId="0"/>
    <xf numFmtId="0" fontId="2" fillId="0" borderId="0"/>
    <xf numFmtId="0" fontId="9" fillId="0" borderId="0">
      <alignment vertical="top"/>
    </xf>
    <xf numFmtId="0" fontId="9" fillId="0" borderId="0">
      <alignment vertical="top"/>
    </xf>
    <xf numFmtId="0" fontId="31" fillId="0" borderId="0" applyNumberFormat="0" applyFill="0" applyBorder="0" applyAlignment="0" applyProtection="0"/>
    <xf numFmtId="0" fontId="32" fillId="0" borderId="12" applyNumberFormat="0" applyFill="0" applyAlignment="0" applyProtection="0"/>
    <xf numFmtId="44" fontId="2" fillId="0" borderId="0" applyFont="0" applyFill="0" applyBorder="0" applyAlignment="0" applyProtection="0"/>
    <xf numFmtId="0" fontId="33" fillId="0" borderId="0" applyNumberFormat="0" applyFill="0" applyBorder="0" applyAlignment="0" applyProtection="0"/>
    <xf numFmtId="0" fontId="49" fillId="28" borderId="13"/>
    <xf numFmtId="0" fontId="63" fillId="0" borderId="0"/>
    <xf numFmtId="0" fontId="9" fillId="0" borderId="0">
      <alignment vertical="top"/>
    </xf>
    <xf numFmtId="0" fontId="56" fillId="0" borderId="0"/>
  </cellStyleXfs>
  <cellXfs count="1677">
    <xf numFmtId="0" fontId="0" fillId="0" borderId="0" xfId="0"/>
    <xf numFmtId="0" fontId="0" fillId="30" borderId="0" xfId="0" applyFill="1"/>
    <xf numFmtId="0" fontId="2" fillId="0" borderId="0" xfId="231" applyFont="1" applyFill="1" applyAlignment="1" applyProtection="1">
      <alignment vertical="center"/>
    </xf>
    <xf numFmtId="0" fontId="0" fillId="30" borderId="0" xfId="0" applyFill="1" applyAlignment="1" applyProtection="1">
      <alignment vertical="center"/>
    </xf>
    <xf numFmtId="0" fontId="2" fillId="30" borderId="0" xfId="224" applyFont="1" applyFill="1" applyAlignment="1" applyProtection="1">
      <alignment vertical="center"/>
    </xf>
    <xf numFmtId="0" fontId="2" fillId="30" borderId="0" xfId="231" applyFont="1" applyFill="1" applyAlignment="1" applyProtection="1">
      <alignment vertical="center"/>
    </xf>
    <xf numFmtId="0" fontId="0" fillId="30" borderId="0" xfId="0" applyFill="1" applyAlignment="1">
      <alignment vertical="center"/>
    </xf>
    <xf numFmtId="0" fontId="0" fillId="0" borderId="0" xfId="0" applyAlignment="1">
      <alignment vertical="center"/>
    </xf>
    <xf numFmtId="0" fontId="2" fillId="0" borderId="0" xfId="224" applyFont="1" applyFill="1" applyAlignment="1" applyProtection="1">
      <alignment vertical="center"/>
    </xf>
    <xf numFmtId="0" fontId="3" fillId="0" borderId="0" xfId="224" applyFont="1" applyFill="1" applyAlignment="1" applyProtection="1">
      <alignment vertical="center"/>
    </xf>
    <xf numFmtId="0" fontId="3" fillId="0" borderId="0" xfId="224" applyFont="1" applyFill="1" applyAlignment="1" applyProtection="1">
      <alignment horizontal="center" vertical="center"/>
    </xf>
    <xf numFmtId="0" fontId="4" fillId="0" borderId="0" xfId="224" applyFont="1" applyFill="1" applyAlignment="1" applyProtection="1">
      <alignment vertical="center"/>
    </xf>
    <xf numFmtId="0" fontId="3" fillId="31" borderId="19" xfId="263" applyNumberFormat="1" applyFont="1" applyFill="1" applyBorder="1" applyAlignment="1" applyProtection="1">
      <alignment horizontal="center" vertical="center"/>
      <protection locked="0"/>
    </xf>
    <xf numFmtId="0" fontId="3" fillId="30" borderId="0" xfId="224" applyFont="1" applyFill="1" applyAlignment="1" applyProtection="1">
      <alignment vertical="center"/>
    </xf>
    <xf numFmtId="44" fontId="2" fillId="30" borderId="0" xfId="263" applyFont="1" applyFill="1" applyBorder="1" applyAlignment="1" applyProtection="1">
      <alignment horizontal="center" vertical="center"/>
    </xf>
    <xf numFmtId="0" fontId="3" fillId="30" borderId="0" xfId="220" applyFont="1" applyFill="1" applyAlignment="1" applyProtection="1">
      <alignment vertical="center"/>
    </xf>
    <xf numFmtId="0" fontId="3" fillId="30" borderId="19" xfId="220" applyFont="1" applyFill="1" applyBorder="1" applyAlignment="1" applyProtection="1">
      <alignment vertical="center"/>
    </xf>
    <xf numFmtId="0" fontId="6" fillId="0" borderId="0" xfId="224" applyFont="1" applyFill="1" applyAlignment="1" applyProtection="1">
      <alignment vertical="center"/>
    </xf>
    <xf numFmtId="0" fontId="2" fillId="0" borderId="0" xfId="224" applyFont="1" applyAlignment="1" applyProtection="1">
      <alignment vertical="center"/>
    </xf>
    <xf numFmtId="0" fontId="2" fillId="0" borderId="0" xfId="224" quotePrefix="1" applyFont="1" applyAlignment="1" applyProtection="1">
      <alignment vertical="center"/>
    </xf>
    <xf numFmtId="0" fontId="2" fillId="0" borderId="0" xfId="224" applyNumberFormat="1" applyFont="1" applyAlignment="1" applyProtection="1">
      <alignment vertical="center"/>
    </xf>
    <xf numFmtId="0" fontId="2" fillId="0" borderId="0" xfId="1" applyFont="1" applyAlignment="1" applyProtection="1">
      <alignment vertical="center"/>
    </xf>
    <xf numFmtId="0" fontId="2" fillId="29" borderId="0" xfId="257" applyFont="1" applyFill="1" applyBorder="1" applyAlignment="1" applyProtection="1">
      <alignment vertical="center"/>
    </xf>
    <xf numFmtId="0" fontId="2" fillId="30" borderId="11" xfId="257" applyFont="1" applyFill="1" applyBorder="1" applyAlignment="1" applyProtection="1">
      <alignment horizontal="left" vertical="center" wrapText="1"/>
    </xf>
    <xf numFmtId="0" fontId="2" fillId="30" borderId="0" xfId="224" applyFont="1" applyFill="1" applyBorder="1" applyAlignment="1" applyProtection="1">
      <alignment vertical="center"/>
    </xf>
    <xf numFmtId="0" fontId="2" fillId="30" borderId="0" xfId="257" applyFont="1" applyFill="1" applyBorder="1" applyAlignment="1" applyProtection="1">
      <alignment horizontal="left" vertical="center"/>
    </xf>
    <xf numFmtId="0" fontId="9" fillId="29" borderId="0" xfId="257" applyFont="1" applyFill="1" applyBorder="1" applyAlignment="1" applyProtection="1">
      <alignment vertical="center"/>
    </xf>
    <xf numFmtId="0" fontId="2" fillId="30" borderId="0" xfId="1" applyFont="1" applyFill="1" applyAlignment="1" applyProtection="1">
      <alignment vertical="center"/>
    </xf>
    <xf numFmtId="0" fontId="2" fillId="32" borderId="11" xfId="257" applyFont="1" applyFill="1" applyBorder="1" applyAlignment="1" applyProtection="1">
      <alignment horizontal="left" vertical="center" wrapText="1"/>
    </xf>
    <xf numFmtId="0" fontId="2" fillId="30" borderId="0" xfId="224" applyFont="1" applyFill="1" applyAlignment="1" applyProtection="1">
      <alignment horizontal="left" vertical="center"/>
    </xf>
    <xf numFmtId="0" fontId="2" fillId="30" borderId="0" xfId="224"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38" fillId="30" borderId="0" xfId="258" applyFont="1" applyFill="1" applyAlignment="1" applyProtection="1">
      <alignment vertical="center" wrapText="1"/>
    </xf>
    <xf numFmtId="0" fontId="2" fillId="30" borderId="0" xfId="224" quotePrefix="1" applyFont="1" applyFill="1" applyAlignment="1" applyProtection="1">
      <alignment vertical="center"/>
    </xf>
    <xf numFmtId="0" fontId="38" fillId="30" borderId="0" xfId="231" applyFont="1" applyFill="1" applyAlignment="1" applyProtection="1">
      <alignment vertical="center"/>
    </xf>
    <xf numFmtId="0" fontId="2" fillId="0" borderId="0" xfId="224" quotePrefix="1" applyFont="1" applyFill="1" applyAlignment="1" applyProtection="1">
      <alignment vertical="center"/>
    </xf>
    <xf numFmtId="0" fontId="64" fillId="0" borderId="0" xfId="22" applyFont="1" applyAlignment="1" applyProtection="1"/>
    <xf numFmtId="0" fontId="64" fillId="0" borderId="0" xfId="22" applyFont="1" applyAlignment="1" applyProtection="1">
      <alignment vertical="center"/>
    </xf>
    <xf numFmtId="0" fontId="35" fillId="30" borderId="0" xfId="231" applyFont="1" applyFill="1" applyAlignment="1" applyProtection="1">
      <alignment vertical="center"/>
    </xf>
    <xf numFmtId="0" fontId="61" fillId="30" borderId="0" xfId="258" applyFont="1" applyFill="1" applyAlignment="1" applyProtection="1">
      <alignment vertical="center"/>
    </xf>
    <xf numFmtId="0" fontId="11" fillId="30" borderId="0" xfId="231" applyFont="1" applyFill="1" applyAlignment="1" applyProtection="1">
      <alignment vertical="center"/>
    </xf>
    <xf numFmtId="0" fontId="42" fillId="30" borderId="0" xfId="258" applyFont="1" applyFill="1" applyAlignment="1" applyProtection="1">
      <alignment vertical="center"/>
    </xf>
    <xf numFmtId="0" fontId="37" fillId="30" borderId="0" xfId="258" applyFont="1" applyFill="1" applyAlignment="1" applyProtection="1">
      <alignment vertical="center"/>
    </xf>
    <xf numFmtId="4" fontId="40" fillId="30" borderId="0" xfId="258" applyNumberFormat="1" applyFont="1" applyFill="1" applyAlignment="1" applyProtection="1">
      <alignment vertical="center"/>
    </xf>
    <xf numFmtId="0" fontId="40" fillId="30" borderId="0" xfId="258" applyFont="1" applyFill="1" applyAlignment="1" applyProtection="1">
      <alignment vertical="center"/>
    </xf>
    <xf numFmtId="0" fontId="2" fillId="0" borderId="0" xfId="231" applyFill="1" applyAlignment="1" applyProtection="1">
      <alignment vertical="center"/>
    </xf>
    <xf numFmtId="0" fontId="36" fillId="0" borderId="0" xfId="231" applyFont="1" applyFill="1" applyAlignment="1" applyProtection="1">
      <alignment vertical="center"/>
    </xf>
    <xf numFmtId="0" fontId="37" fillId="0" borderId="0" xfId="231" applyFont="1" applyFill="1" applyAlignment="1" applyProtection="1">
      <alignment vertical="center"/>
    </xf>
    <xf numFmtId="0" fontId="39" fillId="0" borderId="0" xfId="231" applyFont="1" applyFill="1" applyAlignment="1" applyProtection="1">
      <alignment vertical="center"/>
    </xf>
    <xf numFmtId="0" fontId="11" fillId="0" borderId="0" xfId="231" applyFont="1" applyFill="1" applyAlignment="1" applyProtection="1">
      <alignment vertical="center"/>
    </xf>
    <xf numFmtId="0" fontId="2" fillId="0" borderId="0" xfId="231" applyFill="1" applyAlignment="1" applyProtection="1">
      <alignment horizontal="right" vertical="center"/>
    </xf>
    <xf numFmtId="0" fontId="34" fillId="30" borderId="0" xfId="258" applyFont="1" applyFill="1" applyBorder="1" applyAlignment="1" applyProtection="1">
      <alignment horizontal="center" vertical="center"/>
    </xf>
    <xf numFmtId="0" fontId="35" fillId="30" borderId="0" xfId="231" applyFont="1" applyFill="1" applyAlignment="1" applyProtection="1">
      <alignment horizontal="center" vertical="center"/>
    </xf>
    <xf numFmtId="0" fontId="61" fillId="30" borderId="0" xfId="258" applyFont="1" applyFill="1" applyAlignment="1" applyProtection="1">
      <alignment horizontal="center" vertical="center"/>
    </xf>
    <xf numFmtId="0" fontId="11" fillId="30" borderId="0" xfId="231" applyFont="1" applyFill="1" applyAlignment="1" applyProtection="1">
      <alignment horizontal="center" vertical="center"/>
    </xf>
    <xf numFmtId="0" fontId="0" fillId="30" borderId="0" xfId="0" applyFill="1" applyAlignment="1" applyProtection="1">
      <alignment horizontal="center" vertical="center"/>
    </xf>
    <xf numFmtId="0" fontId="42" fillId="30" borderId="0" xfId="258" applyFont="1" applyFill="1" applyAlignment="1" applyProtection="1">
      <alignment horizontal="center" vertical="center"/>
    </xf>
    <xf numFmtId="0" fontId="37" fillId="30" borderId="0" xfId="258" applyFont="1" applyFill="1" applyAlignment="1" applyProtection="1">
      <alignment horizontal="center" vertical="center"/>
    </xf>
    <xf numFmtId="4" fontId="40" fillId="30" borderId="0" xfId="258" applyNumberFormat="1" applyFont="1" applyFill="1" applyAlignment="1" applyProtection="1">
      <alignment horizontal="center" vertical="center"/>
    </xf>
    <xf numFmtId="0" fontId="0" fillId="30" borderId="0" xfId="0" applyFill="1" applyAlignment="1">
      <alignment horizontal="center" vertical="center"/>
    </xf>
    <xf numFmtId="0" fontId="2" fillId="30" borderId="0" xfId="231" applyFill="1" applyAlignment="1" applyProtection="1">
      <alignment horizontal="center" vertical="center"/>
    </xf>
    <xf numFmtId="0" fontId="62" fillId="30" borderId="0" xfId="0" applyFont="1" applyFill="1" applyAlignment="1">
      <alignment horizontal="center" vertical="center"/>
    </xf>
    <xf numFmtId="0" fontId="34" fillId="30" borderId="0" xfId="258" applyFont="1" applyFill="1" applyBorder="1" applyAlignment="1" applyProtection="1">
      <alignment horizontal="left" vertical="center"/>
    </xf>
    <xf numFmtId="0" fontId="11" fillId="30" borderId="0" xfId="231" applyFont="1" applyFill="1" applyAlignment="1" applyProtection="1">
      <alignment horizontal="left" vertical="center"/>
    </xf>
    <xf numFmtId="0" fontId="62" fillId="30" borderId="0" xfId="0" applyFont="1" applyFill="1" applyAlignment="1">
      <alignment horizontal="left" vertical="center"/>
    </xf>
    <xf numFmtId="0" fontId="37" fillId="30" borderId="0" xfId="258" applyFont="1" applyFill="1" applyBorder="1" applyAlignment="1" applyProtection="1">
      <alignment horizontal="left" vertical="center"/>
    </xf>
    <xf numFmtId="0" fontId="35" fillId="30" borderId="0" xfId="231" applyFont="1" applyFill="1" applyAlignment="1" applyProtection="1">
      <alignment horizontal="left" vertical="center"/>
    </xf>
    <xf numFmtId="4" fontId="40" fillId="30" borderId="0" xfId="258" applyNumberFormat="1" applyFont="1" applyFill="1" applyAlignment="1" applyProtection="1">
      <alignment horizontal="left" vertical="center"/>
    </xf>
    <xf numFmtId="0" fontId="40" fillId="30" borderId="0" xfId="258" applyFont="1" applyFill="1" applyAlignment="1" applyProtection="1">
      <alignment horizontal="left" vertical="center"/>
    </xf>
    <xf numFmtId="0" fontId="0" fillId="30" borderId="0" xfId="0" applyFill="1" applyAlignment="1" applyProtection="1">
      <alignment horizontal="left" vertical="center"/>
    </xf>
    <xf numFmtId="0" fontId="2" fillId="30" borderId="0" xfId="231" applyFill="1" applyAlignment="1" applyProtection="1">
      <alignment horizontal="left" vertical="center"/>
    </xf>
    <xf numFmtId="0" fontId="62" fillId="30" borderId="26" xfId="0" applyFont="1" applyFill="1" applyBorder="1" applyAlignment="1">
      <alignment horizontal="center" vertical="center"/>
    </xf>
    <xf numFmtId="0" fontId="62" fillId="30" borderId="26" xfId="0" applyFont="1" applyFill="1" applyBorder="1" applyAlignment="1">
      <alignment horizontal="left" vertical="center"/>
    </xf>
    <xf numFmtId="0" fontId="0" fillId="30" borderId="25" xfId="0" applyFill="1" applyBorder="1" applyAlignment="1">
      <alignment horizontal="center" vertical="center"/>
    </xf>
    <xf numFmtId="0" fontId="62" fillId="30" borderId="73" xfId="0" applyFont="1" applyFill="1" applyBorder="1" applyAlignment="1">
      <alignment horizontal="center" vertical="center" wrapText="1"/>
    </xf>
    <xf numFmtId="0" fontId="62" fillId="30" borderId="50" xfId="0" applyFont="1" applyFill="1" applyBorder="1" applyAlignment="1">
      <alignment horizontal="center" vertical="center" wrapText="1"/>
    </xf>
    <xf numFmtId="0" fontId="62" fillId="30" borderId="74" xfId="0" applyFont="1" applyFill="1" applyBorder="1" applyAlignment="1">
      <alignment horizontal="center" vertical="center" wrapText="1"/>
    </xf>
    <xf numFmtId="0" fontId="0" fillId="30" borderId="44" xfId="0" applyFill="1" applyBorder="1" applyAlignment="1">
      <alignment horizontal="left" vertical="center"/>
    </xf>
    <xf numFmtId="0" fontId="0" fillId="30" borderId="38" xfId="0" applyFill="1" applyBorder="1" applyAlignment="1">
      <alignment horizontal="left" vertical="center"/>
    </xf>
    <xf numFmtId="0" fontId="0" fillId="30" borderId="75" xfId="0" applyFill="1" applyBorder="1" applyAlignment="1">
      <alignment horizontal="left" vertical="center" wrapText="1"/>
    </xf>
    <xf numFmtId="0" fontId="0" fillId="30" borderId="15" xfId="0" applyFill="1" applyBorder="1" applyAlignment="1">
      <alignment horizontal="left" vertical="center"/>
    </xf>
    <xf numFmtId="0" fontId="0" fillId="30" borderId="14" xfId="0" applyFill="1" applyBorder="1" applyAlignment="1">
      <alignment horizontal="left" vertical="center"/>
    </xf>
    <xf numFmtId="0" fontId="0" fillId="30" borderId="71" xfId="0" applyFill="1" applyBorder="1" applyAlignment="1">
      <alignment horizontal="left" vertical="center" wrapText="1"/>
    </xf>
    <xf numFmtId="0" fontId="0" fillId="30" borderId="76" xfId="0" applyFill="1" applyBorder="1" applyAlignment="1">
      <alignment horizontal="center" vertical="center"/>
    </xf>
    <xf numFmtId="0" fontId="0" fillId="30" borderId="78" xfId="0" applyFill="1" applyBorder="1" applyAlignment="1">
      <alignment horizontal="center" vertical="center"/>
    </xf>
    <xf numFmtId="0" fontId="0" fillId="30" borderId="79" xfId="0" applyFill="1" applyBorder="1" applyAlignment="1">
      <alignment horizontal="center" vertical="center"/>
    </xf>
    <xf numFmtId="0" fontId="0" fillId="30" borderId="80" xfId="0" applyFill="1" applyBorder="1" applyAlignment="1">
      <alignment horizontal="center" vertical="center"/>
    </xf>
    <xf numFmtId="0" fontId="2" fillId="33" borderId="11" xfId="257" applyFont="1" applyFill="1" applyBorder="1" applyAlignment="1" applyProtection="1">
      <alignment vertical="center"/>
    </xf>
    <xf numFmtId="176" fontId="0" fillId="30" borderId="82" xfId="0" applyNumberFormat="1" applyFill="1" applyBorder="1" applyAlignment="1">
      <alignment horizontal="right" vertical="center"/>
    </xf>
    <xf numFmtId="176" fontId="0" fillId="30" borderId="52" xfId="0" applyNumberFormat="1" applyFill="1" applyBorder="1" applyAlignment="1">
      <alignment horizontal="right" vertical="center"/>
    </xf>
    <xf numFmtId="176" fontId="0" fillId="30" borderId="83" xfId="0" applyNumberFormat="1" applyFill="1" applyBorder="1" applyAlignment="1">
      <alignment horizontal="right" vertical="center"/>
    </xf>
    <xf numFmtId="176" fontId="0" fillId="30" borderId="84" xfId="0" applyNumberFormat="1" applyFill="1" applyBorder="1" applyAlignment="1">
      <alignment horizontal="right" vertical="center"/>
    </xf>
    <xf numFmtId="176" fontId="0" fillId="30" borderId="72" xfId="0" applyNumberFormat="1" applyFill="1" applyBorder="1" applyAlignment="1">
      <alignment horizontal="right" vertical="center"/>
    </xf>
    <xf numFmtId="176" fontId="0" fillId="30" borderId="76" xfId="0" applyNumberFormat="1" applyFill="1" applyBorder="1" applyAlignment="1">
      <alignment horizontal="right" vertical="center"/>
    </xf>
    <xf numFmtId="176" fontId="0" fillId="30" borderId="30" xfId="0" applyNumberFormat="1" applyFill="1" applyBorder="1" applyAlignment="1">
      <alignment horizontal="right" vertical="center"/>
    </xf>
    <xf numFmtId="176" fontId="0" fillId="30" borderId="78" xfId="0" applyNumberFormat="1" applyFill="1" applyBorder="1" applyAlignment="1">
      <alignment horizontal="right" vertical="center"/>
    </xf>
    <xf numFmtId="176" fontId="0" fillId="30" borderId="79" xfId="0" applyNumberFormat="1" applyFill="1" applyBorder="1" applyAlignment="1">
      <alignment horizontal="right" vertical="center"/>
    </xf>
    <xf numFmtId="176" fontId="0" fillId="30" borderId="80" xfId="0" applyNumberFormat="1" applyFill="1" applyBorder="1" applyAlignment="1">
      <alignment horizontal="right" vertical="center"/>
    </xf>
    <xf numFmtId="176" fontId="0" fillId="30" borderId="57" xfId="0" applyNumberFormat="1" applyFill="1" applyBorder="1" applyAlignment="1">
      <alignment horizontal="right" vertical="center"/>
    </xf>
    <xf numFmtId="176" fontId="0" fillId="30" borderId="73" xfId="0" applyNumberFormat="1" applyFill="1" applyBorder="1" applyAlignment="1">
      <alignment horizontal="right" vertical="center"/>
    </xf>
    <xf numFmtId="176" fontId="0" fillId="30" borderId="50" xfId="0" applyNumberFormat="1" applyFill="1" applyBorder="1" applyAlignment="1">
      <alignment horizontal="right" vertical="center"/>
    </xf>
    <xf numFmtId="176" fontId="0" fillId="30" borderId="74" xfId="0" applyNumberFormat="1" applyFill="1" applyBorder="1" applyAlignment="1">
      <alignment horizontal="right" vertical="center"/>
    </xf>
    <xf numFmtId="0" fontId="0" fillId="0" borderId="0" xfId="0" applyAlignment="1" applyProtection="1">
      <alignment vertical="center"/>
    </xf>
    <xf numFmtId="0" fontId="59" fillId="0" borderId="49" xfId="0" applyFont="1" applyBorder="1" applyAlignment="1" applyProtection="1">
      <alignment horizontal="center" vertical="center"/>
    </xf>
    <xf numFmtId="0" fontId="0" fillId="0" borderId="78" xfId="0" applyBorder="1" applyAlignment="1" applyProtection="1">
      <alignment horizontal="center" vertical="center"/>
    </xf>
    <xf numFmtId="0" fontId="0" fillId="0" borderId="80" xfId="0" applyBorder="1" applyAlignment="1" applyProtection="1">
      <alignment horizontal="center" vertical="center"/>
    </xf>
    <xf numFmtId="0" fontId="0" fillId="0" borderId="23" xfId="0" applyBorder="1" applyAlignment="1" applyProtection="1">
      <alignment horizontal="center" vertical="center"/>
    </xf>
    <xf numFmtId="0" fontId="0" fillId="0" borderId="44" xfId="0" applyBorder="1" applyAlignment="1" applyProtection="1">
      <alignment vertical="center"/>
    </xf>
    <xf numFmtId="0" fontId="0" fillId="0" borderId="38" xfId="0" applyBorder="1" applyAlignment="1" applyProtection="1">
      <alignment vertical="center"/>
    </xf>
    <xf numFmtId="176" fontId="0" fillId="0" borderId="82" xfId="0" applyNumberFormat="1" applyBorder="1" applyAlignment="1" applyProtection="1">
      <alignment vertical="center"/>
    </xf>
    <xf numFmtId="10" fontId="56" fillId="0" borderId="83" xfId="158" applyNumberFormat="1" applyFont="1" applyBorder="1" applyAlignment="1" applyProtection="1">
      <alignment vertical="center"/>
    </xf>
    <xf numFmtId="176" fontId="0" fillId="0" borderId="53" xfId="0" applyNumberFormat="1" applyBorder="1" applyAlignment="1" applyProtection="1">
      <alignment vertical="center"/>
    </xf>
    <xf numFmtId="0" fontId="0" fillId="0" borderId="15" xfId="0" applyBorder="1" applyAlignment="1" applyProtection="1">
      <alignment vertical="center"/>
    </xf>
    <xf numFmtId="0" fontId="0" fillId="0" borderId="14" xfId="0" applyBorder="1" applyAlignment="1" applyProtection="1">
      <alignment vertical="center"/>
    </xf>
    <xf numFmtId="176" fontId="0" fillId="0" borderId="72" xfId="0" applyNumberFormat="1" applyBorder="1" applyAlignment="1" applyProtection="1">
      <alignment vertical="center"/>
    </xf>
    <xf numFmtId="10" fontId="56" fillId="0" borderId="76" xfId="158" applyNumberFormat="1" applyFont="1" applyBorder="1" applyAlignment="1" applyProtection="1">
      <alignment vertical="center"/>
    </xf>
    <xf numFmtId="176" fontId="0" fillId="0" borderId="31" xfId="0" applyNumberFormat="1" applyBorder="1" applyAlignment="1" applyProtection="1">
      <alignment vertical="center"/>
    </xf>
    <xf numFmtId="0" fontId="0" fillId="0" borderId="70" xfId="0" applyBorder="1" applyAlignment="1" applyProtection="1">
      <alignment vertical="center"/>
    </xf>
    <xf numFmtId="0" fontId="0" fillId="0" borderId="67" xfId="0" applyBorder="1" applyAlignment="1" applyProtection="1">
      <alignment vertical="center"/>
    </xf>
    <xf numFmtId="176" fontId="0" fillId="0" borderId="78" xfId="0" applyNumberFormat="1" applyBorder="1" applyAlignment="1" applyProtection="1">
      <alignment vertical="center"/>
    </xf>
    <xf numFmtId="10" fontId="56" fillId="0" borderId="80" xfId="158" applyNumberFormat="1" applyFont="1" applyBorder="1" applyAlignment="1" applyProtection="1">
      <alignment vertical="center"/>
    </xf>
    <xf numFmtId="176" fontId="0" fillId="0" borderId="35" xfId="0" applyNumberFormat="1" applyBorder="1" applyAlignment="1" applyProtection="1">
      <alignment vertical="center"/>
    </xf>
    <xf numFmtId="0" fontId="59" fillId="0" borderId="25" xfId="0" applyFont="1" applyBorder="1" applyAlignment="1" applyProtection="1">
      <alignment vertical="center"/>
    </xf>
    <xf numFmtId="0" fontId="59" fillId="0" borderId="26" xfId="0" applyFont="1" applyBorder="1" applyAlignment="1" applyProtection="1">
      <alignment vertical="center"/>
    </xf>
    <xf numFmtId="176" fontId="59" fillId="0" borderId="73" xfId="0" applyNumberFormat="1" applyFont="1" applyBorder="1" applyAlignment="1" applyProtection="1">
      <alignment vertical="center"/>
    </xf>
    <xf numFmtId="10" fontId="59" fillId="0" borderId="74" xfId="158" applyNumberFormat="1" applyFont="1" applyBorder="1" applyAlignment="1" applyProtection="1">
      <alignment vertical="center"/>
    </xf>
    <xf numFmtId="176" fontId="59" fillId="0" borderId="20" xfId="0" applyNumberFormat="1" applyFont="1" applyBorder="1" applyAlignment="1" applyProtection="1">
      <alignment vertical="center"/>
    </xf>
    <xf numFmtId="4" fontId="0" fillId="30" borderId="76" xfId="0" applyNumberFormat="1" applyFill="1" applyBorder="1" applyAlignment="1">
      <alignment horizontal="right" vertical="center"/>
    </xf>
    <xf numFmtId="0" fontId="42" fillId="30" borderId="0" xfId="258" applyFont="1" applyFill="1" applyAlignment="1" applyProtection="1">
      <alignment horizontal="left" vertical="center"/>
    </xf>
    <xf numFmtId="0" fontId="0" fillId="30" borderId="22" xfId="0" applyFill="1" applyBorder="1" applyAlignment="1">
      <alignment horizontal="center" vertical="center"/>
    </xf>
    <xf numFmtId="0" fontId="0" fillId="30" borderId="38" xfId="0" applyFill="1" applyBorder="1" applyAlignment="1">
      <alignment vertical="center"/>
    </xf>
    <xf numFmtId="0" fontId="0" fillId="30" borderId="14" xfId="0" applyFill="1" applyBorder="1"/>
    <xf numFmtId="0" fontId="0" fillId="30" borderId="33" xfId="0" applyFill="1" applyBorder="1"/>
    <xf numFmtId="0" fontId="42" fillId="30" borderId="0" xfId="258" applyFont="1" applyFill="1" applyBorder="1" applyAlignment="1" applyProtection="1">
      <alignment horizontal="center" vertical="center"/>
    </xf>
    <xf numFmtId="0" fontId="2" fillId="35" borderId="11" xfId="257" applyFont="1" applyFill="1" applyBorder="1" applyAlignment="1" applyProtection="1">
      <alignment vertical="center"/>
    </xf>
    <xf numFmtId="0" fontId="0" fillId="30" borderId="0" xfId="0" applyFill="1" applyAlignment="1">
      <alignment horizontal="center"/>
    </xf>
    <xf numFmtId="0" fontId="65" fillId="30" borderId="109" xfId="0" applyFont="1" applyFill="1" applyBorder="1" applyAlignment="1">
      <alignment horizontal="center" vertical="center"/>
    </xf>
    <xf numFmtId="0" fontId="65" fillId="30" borderId="119" xfId="0" applyFont="1" applyFill="1" applyBorder="1" applyAlignment="1">
      <alignment horizontal="center" vertical="center"/>
    </xf>
    <xf numFmtId="0" fontId="65" fillId="30" borderId="121" xfId="0" applyFont="1" applyFill="1" applyBorder="1" applyAlignment="1">
      <alignment horizontal="center" vertical="center"/>
    </xf>
    <xf numFmtId="0" fontId="65" fillId="30" borderId="122" xfId="0" applyFont="1" applyFill="1" applyBorder="1" applyAlignment="1">
      <alignment horizontal="center" vertical="center"/>
    </xf>
    <xf numFmtId="0" fontId="65" fillId="30" borderId="114" xfId="0" applyFont="1" applyFill="1" applyBorder="1" applyAlignment="1">
      <alignment horizontal="left" vertical="center"/>
    </xf>
    <xf numFmtId="0" fontId="65" fillId="30" borderId="125" xfId="0" applyFont="1" applyFill="1" applyBorder="1" applyAlignment="1">
      <alignment horizontal="left" vertical="center"/>
    </xf>
    <xf numFmtId="0" fontId="65" fillId="30" borderId="125" xfId="0" applyFont="1" applyFill="1" applyBorder="1" applyAlignment="1">
      <alignment horizontal="left" vertical="center" wrapText="1"/>
    </xf>
    <xf numFmtId="0" fontId="62" fillId="30" borderId="60" xfId="0" applyFont="1" applyFill="1" applyBorder="1" applyAlignment="1">
      <alignment horizontal="center" vertical="center" wrapText="1"/>
    </xf>
    <xf numFmtId="0" fontId="62" fillId="30" borderId="91" xfId="0" applyFont="1" applyFill="1" applyBorder="1" applyAlignment="1">
      <alignment horizontal="center" vertical="center" wrapText="1"/>
    </xf>
    <xf numFmtId="0" fontId="62" fillId="30" borderId="90" xfId="0" applyFont="1" applyFill="1" applyBorder="1" applyAlignment="1">
      <alignment horizontal="center" vertical="center" wrapText="1"/>
    </xf>
    <xf numFmtId="0" fontId="62" fillId="30" borderId="22" xfId="0" applyFont="1" applyFill="1" applyBorder="1" applyAlignment="1">
      <alignment horizontal="center" vertical="center" wrapText="1"/>
    </xf>
    <xf numFmtId="0" fontId="0" fillId="30" borderId="38" xfId="0" applyFill="1" applyBorder="1"/>
    <xf numFmtId="0" fontId="0" fillId="30" borderId="84" xfId="0" applyFill="1" applyBorder="1"/>
    <xf numFmtId="0" fontId="0" fillId="30" borderId="30" xfId="0" applyFill="1" applyBorder="1"/>
    <xf numFmtId="0" fontId="0" fillId="30" borderId="89" xfId="0" applyFill="1" applyBorder="1"/>
    <xf numFmtId="0" fontId="0" fillId="30" borderId="44" xfId="0" applyFill="1" applyBorder="1"/>
    <xf numFmtId="0" fontId="0" fillId="30" borderId="15" xfId="0" applyFill="1" applyBorder="1"/>
    <xf numFmtId="0" fontId="0" fillId="30" borderId="32" xfId="0" applyFill="1" applyBorder="1"/>
    <xf numFmtId="0" fontId="62" fillId="30" borderId="90" xfId="0" applyFont="1" applyFill="1" applyBorder="1" applyAlignment="1">
      <alignment horizontal="center" vertical="center"/>
    </xf>
    <xf numFmtId="0" fontId="62" fillId="30" borderId="87" xfId="0" applyFont="1" applyFill="1" applyBorder="1" applyAlignment="1">
      <alignment horizontal="center" vertical="center" wrapText="1"/>
    </xf>
    <xf numFmtId="4" fontId="0" fillId="30" borderId="19" xfId="0" applyNumberFormat="1" applyFill="1" applyBorder="1"/>
    <xf numFmtId="0" fontId="0" fillId="30" borderId="95" xfId="0" applyFill="1" applyBorder="1"/>
    <xf numFmtId="0" fontId="0" fillId="30" borderId="96" xfId="0" applyFill="1" applyBorder="1"/>
    <xf numFmtId="0" fontId="0" fillId="30" borderId="97" xfId="0" applyFill="1" applyBorder="1"/>
    <xf numFmtId="0" fontId="0" fillId="30" borderId="0" xfId="0" applyFill="1" applyBorder="1"/>
    <xf numFmtId="0" fontId="0" fillId="30" borderId="46" xfId="0" applyFill="1" applyBorder="1"/>
    <xf numFmtId="0" fontId="0" fillId="30" borderId="0" xfId="0" applyFill="1" applyBorder="1" applyAlignment="1">
      <alignment horizontal="right"/>
    </xf>
    <xf numFmtId="4" fontId="0" fillId="30" borderId="0" xfId="0" applyNumberFormat="1" applyFill="1" applyBorder="1"/>
    <xf numFmtId="0" fontId="0" fillId="30" borderId="98" xfId="0" applyFill="1" applyBorder="1"/>
    <xf numFmtId="0" fontId="0" fillId="30" borderId="28" xfId="0" applyFill="1" applyBorder="1"/>
    <xf numFmtId="0" fontId="0" fillId="30" borderId="51" xfId="0" applyFill="1" applyBorder="1"/>
    <xf numFmtId="0" fontId="42" fillId="30" borderId="0" xfId="258" applyFont="1" applyFill="1" applyBorder="1" applyAlignment="1" applyProtection="1">
      <alignment vertical="center"/>
    </xf>
    <xf numFmtId="0" fontId="0" fillId="30" borderId="25" xfId="0" applyFill="1" applyBorder="1"/>
    <xf numFmtId="0" fontId="0" fillId="30" borderId="78" xfId="0" applyFill="1" applyBorder="1" applyAlignment="1">
      <alignment horizontal="center"/>
    </xf>
    <xf numFmtId="0" fontId="0" fillId="30" borderId="80" xfId="0" applyFill="1" applyBorder="1" applyAlignment="1">
      <alignment horizontal="center"/>
    </xf>
    <xf numFmtId="176" fontId="0" fillId="30" borderId="82" xfId="0" applyNumberFormat="1" applyFill="1" applyBorder="1"/>
    <xf numFmtId="0" fontId="0" fillId="30" borderId="15" xfId="0" applyFill="1" applyBorder="1" applyAlignment="1"/>
    <xf numFmtId="176" fontId="0" fillId="30" borderId="72" xfId="0" applyNumberFormat="1" applyFill="1" applyBorder="1"/>
    <xf numFmtId="176" fontId="0" fillId="30" borderId="76" xfId="0" applyNumberFormat="1" applyFill="1" applyBorder="1"/>
    <xf numFmtId="176" fontId="0" fillId="30" borderId="92" xfId="0" applyNumberFormat="1" applyFill="1" applyBorder="1"/>
    <xf numFmtId="0" fontId="0" fillId="30" borderId="27" xfId="0" applyFill="1" applyBorder="1"/>
    <xf numFmtId="0" fontId="0" fillId="30" borderId="21" xfId="0" applyFill="1" applyBorder="1" applyAlignment="1">
      <alignment vertical="center" wrapText="1"/>
    </xf>
    <xf numFmtId="0" fontId="0" fillId="30" borderId="82" xfId="0" applyFill="1" applyBorder="1" applyAlignment="1">
      <alignment horizontal="left" vertical="center"/>
    </xf>
    <xf numFmtId="0" fontId="0" fillId="30" borderId="52" xfId="0" applyFill="1" applyBorder="1" applyAlignment="1">
      <alignment horizontal="left" vertical="center"/>
    </xf>
    <xf numFmtId="0" fontId="0" fillId="30" borderId="72" xfId="0" applyFill="1" applyBorder="1" applyAlignment="1">
      <alignment horizontal="left" vertical="center"/>
    </xf>
    <xf numFmtId="0" fontId="0" fillId="30" borderId="48" xfId="0" applyFill="1" applyBorder="1" applyAlignment="1">
      <alignment horizontal="left" vertical="center"/>
    </xf>
    <xf numFmtId="0" fontId="0" fillId="30" borderId="73" xfId="0" applyFill="1" applyBorder="1" applyAlignment="1">
      <alignment horizontal="center" vertical="center"/>
    </xf>
    <xf numFmtId="0" fontId="0" fillId="30" borderId="74" xfId="0" applyFill="1" applyBorder="1" applyAlignment="1">
      <alignment horizontal="center" vertical="center"/>
    </xf>
    <xf numFmtId="3" fontId="0" fillId="30" borderId="73" xfId="0" applyNumberFormat="1" applyFill="1" applyBorder="1" applyAlignment="1">
      <alignment horizontal="center" vertical="center"/>
    </xf>
    <xf numFmtId="3" fontId="0" fillId="30" borderId="50" xfId="0" applyNumberFormat="1" applyFill="1" applyBorder="1" applyAlignment="1">
      <alignment horizontal="center" vertical="center"/>
    </xf>
    <xf numFmtId="3" fontId="0" fillId="30" borderId="58" xfId="0" applyNumberFormat="1" applyFill="1" applyBorder="1" applyAlignment="1">
      <alignment horizontal="center" vertical="center"/>
    </xf>
    <xf numFmtId="0" fontId="0" fillId="30" borderId="34" xfId="0" applyFill="1" applyBorder="1" applyAlignment="1">
      <alignment horizontal="center" vertical="center"/>
    </xf>
    <xf numFmtId="0" fontId="0" fillId="30" borderId="69" xfId="0" applyFill="1" applyBorder="1" applyAlignment="1">
      <alignment horizontal="center" vertical="center"/>
    </xf>
    <xf numFmtId="0" fontId="0" fillId="30" borderId="83" xfId="0" applyFill="1" applyBorder="1" applyAlignment="1">
      <alignment horizontal="center" vertical="center"/>
    </xf>
    <xf numFmtId="3" fontId="0" fillId="30" borderId="82" xfId="0" applyNumberFormat="1" applyFill="1" applyBorder="1" applyAlignment="1">
      <alignment horizontal="right" vertical="center"/>
    </xf>
    <xf numFmtId="3" fontId="0" fillId="30" borderId="52" xfId="0" applyNumberFormat="1" applyFill="1" applyBorder="1" applyAlignment="1">
      <alignment horizontal="right" vertical="center"/>
    </xf>
    <xf numFmtId="3" fontId="0" fillId="30" borderId="68" xfId="0" applyNumberFormat="1" applyFill="1" applyBorder="1" applyAlignment="1">
      <alignment horizontal="right" vertical="center"/>
    </xf>
    <xf numFmtId="176" fontId="0" fillId="30" borderId="68" xfId="0" applyNumberFormat="1" applyFill="1" applyBorder="1" applyAlignment="1">
      <alignment horizontal="right" vertical="center"/>
    </xf>
    <xf numFmtId="176" fontId="0" fillId="30" borderId="39" xfId="0" applyNumberFormat="1" applyFill="1" applyBorder="1" applyAlignment="1">
      <alignment horizontal="right" vertical="center"/>
    </xf>
    <xf numFmtId="176" fontId="0" fillId="30" borderId="55" xfId="0" applyNumberFormat="1" applyFill="1" applyBorder="1" applyAlignment="1">
      <alignment horizontal="right" vertical="center"/>
    </xf>
    <xf numFmtId="3" fontId="0" fillId="30" borderId="78" xfId="0" applyNumberFormat="1" applyFill="1" applyBorder="1" applyAlignment="1">
      <alignment horizontal="right" vertical="center"/>
    </xf>
    <xf numFmtId="3" fontId="0" fillId="30" borderId="79" xfId="0" applyNumberFormat="1" applyFill="1" applyBorder="1" applyAlignment="1">
      <alignment horizontal="right" vertical="center"/>
    </xf>
    <xf numFmtId="3" fontId="0" fillId="30" borderId="69" xfId="0" applyNumberFormat="1" applyFill="1" applyBorder="1" applyAlignment="1">
      <alignment horizontal="right" vertical="center"/>
    </xf>
    <xf numFmtId="176" fontId="0" fillId="30" borderId="34" xfId="0" applyNumberFormat="1" applyFill="1" applyBorder="1" applyAlignment="1">
      <alignment horizontal="right" vertical="center"/>
    </xf>
    <xf numFmtId="176" fontId="0" fillId="30" borderId="86" xfId="0" applyNumberFormat="1" applyFill="1" applyBorder="1" applyAlignment="1">
      <alignment horizontal="right" vertical="center"/>
    </xf>
    <xf numFmtId="176" fontId="0" fillId="30" borderId="69" xfId="0" applyNumberFormat="1" applyFill="1" applyBorder="1" applyAlignment="1">
      <alignment horizontal="right" vertical="center"/>
    </xf>
    <xf numFmtId="3" fontId="0" fillId="30" borderId="58" xfId="0" applyNumberFormat="1" applyFill="1" applyBorder="1" applyAlignment="1">
      <alignment horizontal="right" vertical="center"/>
    </xf>
    <xf numFmtId="176" fontId="0" fillId="30" borderId="47" xfId="0" applyNumberFormat="1" applyFill="1" applyBorder="1" applyAlignment="1">
      <alignment horizontal="right" vertical="center"/>
    </xf>
    <xf numFmtId="176" fontId="0" fillId="30" borderId="58" xfId="0" applyNumberFormat="1" applyFill="1" applyBorder="1" applyAlignment="1">
      <alignment horizontal="right" vertical="center"/>
    </xf>
    <xf numFmtId="0" fontId="0" fillId="32" borderId="87" xfId="0" applyFill="1" applyBorder="1" applyAlignment="1">
      <alignment horizontal="left" vertical="center"/>
    </xf>
    <xf numFmtId="0" fontId="0" fillId="32" borderId="60" xfId="0" applyFill="1" applyBorder="1" applyAlignment="1">
      <alignment horizontal="left" vertical="center"/>
    </xf>
    <xf numFmtId="0" fontId="0" fillId="32" borderId="78" xfId="0" applyFill="1" applyBorder="1" applyAlignment="1">
      <alignment horizontal="left" vertical="center"/>
    </xf>
    <xf numFmtId="0" fontId="0" fillId="32" borderId="69" xfId="0" applyFill="1" applyBorder="1" applyAlignment="1">
      <alignment horizontal="left" vertical="center"/>
    </xf>
    <xf numFmtId="0" fontId="0" fillId="30" borderId="83" xfId="0" applyFill="1" applyBorder="1" applyAlignment="1">
      <alignment horizontal="left" vertical="center"/>
    </xf>
    <xf numFmtId="0" fontId="0" fillId="30" borderId="76" xfId="0" applyFill="1" applyBorder="1" applyAlignment="1">
      <alignment horizontal="left" vertical="center"/>
    </xf>
    <xf numFmtId="0" fontId="0" fillId="30" borderId="85" xfId="0" applyFill="1" applyBorder="1" applyAlignment="1">
      <alignment horizontal="left" vertical="center"/>
    </xf>
    <xf numFmtId="0" fontId="0" fillId="30" borderId="80" xfId="0" applyFill="1" applyBorder="1" applyAlignment="1">
      <alignment horizontal="left" vertical="center"/>
    </xf>
    <xf numFmtId="176" fontId="0" fillId="30" borderId="36" xfId="0" applyNumberFormat="1" applyFill="1" applyBorder="1" applyAlignment="1">
      <alignment horizontal="right" vertical="center"/>
    </xf>
    <xf numFmtId="176" fontId="0" fillId="30" borderId="81" xfId="0" applyNumberFormat="1" applyFill="1" applyBorder="1" applyAlignment="1">
      <alignment horizontal="right" vertical="center"/>
    </xf>
    <xf numFmtId="3" fontId="0" fillId="30" borderId="73" xfId="0" applyNumberFormat="1" applyFill="1" applyBorder="1" applyAlignment="1">
      <alignment horizontal="right" vertical="center"/>
    </xf>
    <xf numFmtId="3" fontId="0" fillId="30" borderId="50" xfId="0" applyNumberFormat="1" applyFill="1" applyBorder="1" applyAlignment="1">
      <alignment horizontal="right" vertical="center"/>
    </xf>
    <xf numFmtId="0" fontId="0" fillId="30" borderId="67" xfId="0" applyFill="1" applyBorder="1" applyAlignment="1">
      <alignment horizontal="center" vertical="center"/>
    </xf>
    <xf numFmtId="0" fontId="0" fillId="30" borderId="70" xfId="0" applyFill="1" applyBorder="1" applyAlignment="1">
      <alignment vertical="center"/>
    </xf>
    <xf numFmtId="0" fontId="0" fillId="30" borderId="77" xfId="0" applyFill="1" applyBorder="1" applyAlignment="1">
      <alignment vertical="center"/>
    </xf>
    <xf numFmtId="0" fontId="0" fillId="30" borderId="44" xfId="0" applyFill="1" applyBorder="1" applyAlignment="1">
      <alignment vertical="center"/>
    </xf>
    <xf numFmtId="0" fontId="0" fillId="30" borderId="75" xfId="0" applyFill="1" applyBorder="1" applyAlignment="1">
      <alignment vertical="center"/>
    </xf>
    <xf numFmtId="0" fontId="41" fillId="0" borderId="0" xfId="224" applyFont="1" applyAlignment="1" applyProtection="1">
      <alignment vertical="center"/>
    </xf>
    <xf numFmtId="0" fontId="0" fillId="30" borderId="92" xfId="0" applyFill="1" applyBorder="1" applyAlignment="1">
      <alignment horizontal="center" vertical="center"/>
    </xf>
    <xf numFmtId="0" fontId="0" fillId="30" borderId="88" xfId="0" applyFill="1" applyBorder="1" applyAlignment="1">
      <alignment horizontal="center" vertical="center"/>
    </xf>
    <xf numFmtId="0" fontId="0" fillId="30" borderId="82" xfId="0" applyFill="1" applyBorder="1" applyAlignment="1">
      <alignment horizontal="center" vertical="center"/>
    </xf>
    <xf numFmtId="0" fontId="0" fillId="30" borderId="72" xfId="0" applyFill="1" applyBorder="1" applyAlignment="1">
      <alignment horizontal="center" vertical="center"/>
    </xf>
    <xf numFmtId="0" fontId="0" fillId="30" borderId="48" xfId="0" applyFill="1" applyBorder="1" applyAlignment="1">
      <alignment horizontal="center" vertical="center"/>
    </xf>
    <xf numFmtId="0" fontId="70" fillId="30" borderId="0" xfId="0" applyFont="1" applyFill="1" applyAlignment="1">
      <alignment horizontal="left" vertical="center"/>
    </xf>
    <xf numFmtId="0" fontId="0" fillId="30" borderId="78" xfId="0" applyFill="1" applyBorder="1" applyAlignment="1">
      <alignment horizontal="center" vertical="center" wrapText="1"/>
    </xf>
    <xf numFmtId="0" fontId="0" fillId="30" borderId="80" xfId="0" applyFill="1" applyBorder="1" applyAlignment="1">
      <alignment horizontal="center" vertical="center" wrapText="1"/>
    </xf>
    <xf numFmtId="4" fontId="0" fillId="30" borderId="82" xfId="0" applyNumberFormat="1" applyFill="1" applyBorder="1" applyAlignment="1">
      <alignment horizontal="right" vertical="center"/>
    </xf>
    <xf numFmtId="4" fontId="0" fillId="30" borderId="52" xfId="0" applyNumberFormat="1" applyFill="1" applyBorder="1" applyAlignment="1">
      <alignment horizontal="right" vertical="center"/>
    </xf>
    <xf numFmtId="4" fontId="0" fillId="30" borderId="83" xfId="0" applyNumberFormat="1" applyFill="1" applyBorder="1" applyAlignment="1">
      <alignment horizontal="right" vertical="center"/>
    </xf>
    <xf numFmtId="4" fontId="0" fillId="30" borderId="72" xfId="0" applyNumberFormat="1" applyFill="1" applyBorder="1" applyAlignment="1">
      <alignment horizontal="right" vertical="center"/>
    </xf>
    <xf numFmtId="4" fontId="0" fillId="30" borderId="48" xfId="0" applyNumberFormat="1" applyFill="1" applyBorder="1" applyAlignment="1">
      <alignment horizontal="right" vertical="center"/>
    </xf>
    <xf numFmtId="0" fontId="62" fillId="30" borderId="127" xfId="0" applyFont="1" applyFill="1" applyBorder="1" applyAlignment="1">
      <alignment horizontal="center" vertical="center" wrapText="1"/>
    </xf>
    <xf numFmtId="0" fontId="0" fillId="30" borderId="50" xfId="0" applyFill="1" applyBorder="1" applyAlignment="1">
      <alignment horizontal="left" vertical="center"/>
    </xf>
    <xf numFmtId="0" fontId="65" fillId="30" borderId="129" xfId="0" applyFont="1" applyFill="1" applyBorder="1" applyAlignment="1">
      <alignment horizontal="center" vertical="center"/>
    </xf>
    <xf numFmtId="0" fontId="65" fillId="30" borderId="111" xfId="0" applyFont="1" applyFill="1" applyBorder="1" applyAlignment="1">
      <alignment horizontal="center" vertical="center"/>
    </xf>
    <xf numFmtId="0" fontId="65" fillId="30" borderId="131" xfId="0" applyFont="1" applyFill="1" applyBorder="1" applyAlignment="1">
      <alignment horizontal="center" vertical="center"/>
    </xf>
    <xf numFmtId="0" fontId="65" fillId="30" borderId="132" xfId="0" applyFont="1" applyFill="1" applyBorder="1" applyAlignment="1">
      <alignment horizontal="center" vertical="center"/>
    </xf>
    <xf numFmtId="0" fontId="65" fillId="30" borderId="133" xfId="0" applyFont="1" applyFill="1" applyBorder="1" applyAlignment="1">
      <alignment horizontal="left" vertical="center"/>
    </xf>
    <xf numFmtId="0" fontId="65" fillId="30" borderId="116" xfId="0" applyFont="1" applyFill="1" applyBorder="1" applyAlignment="1">
      <alignment horizontal="left" vertical="center"/>
    </xf>
    <xf numFmtId="0" fontId="62" fillId="30" borderId="128" xfId="0" applyFont="1" applyFill="1" applyBorder="1" applyAlignment="1">
      <alignment horizontal="center" vertical="center"/>
    </xf>
    <xf numFmtId="0" fontId="0" fillId="30" borderId="52" xfId="0" applyFill="1" applyBorder="1" applyAlignment="1">
      <alignment horizontal="center" vertical="center"/>
    </xf>
    <xf numFmtId="10" fontId="0" fillId="30" borderId="82" xfId="0" applyNumberFormat="1" applyFill="1" applyBorder="1" applyAlignment="1">
      <alignment horizontal="right" vertical="center"/>
    </xf>
    <xf numFmtId="10" fontId="0" fillId="30" borderId="72" xfId="0" applyNumberFormat="1" applyFill="1" applyBorder="1" applyAlignment="1">
      <alignment horizontal="right" vertical="center"/>
    </xf>
    <xf numFmtId="10" fontId="0" fillId="30" borderId="92" xfId="0" applyNumberFormat="1" applyFill="1" applyBorder="1" applyAlignment="1">
      <alignment horizontal="right" vertical="center"/>
    </xf>
    <xf numFmtId="10" fontId="0" fillId="30" borderId="52" xfId="0" applyNumberFormat="1" applyFill="1" applyBorder="1" applyAlignment="1">
      <alignment horizontal="right" vertical="center"/>
    </xf>
    <xf numFmtId="10" fontId="0" fillId="30" borderId="48" xfId="0" applyNumberFormat="1" applyFill="1" applyBorder="1" applyAlignment="1">
      <alignment horizontal="right" vertical="center"/>
    </xf>
    <xf numFmtId="0" fontId="0" fillId="0" borderId="0" xfId="0" applyFill="1" applyAlignment="1">
      <alignment horizontal="center" vertical="center"/>
    </xf>
    <xf numFmtId="0" fontId="34" fillId="30" borderId="16" xfId="258" applyFont="1" applyFill="1" applyBorder="1" applyAlignment="1" applyProtection="1">
      <alignment vertical="center"/>
    </xf>
    <xf numFmtId="0" fontId="0" fillId="30" borderId="22" xfId="0" applyFill="1" applyBorder="1" applyAlignment="1">
      <alignment horizontal="center" vertical="center"/>
    </xf>
    <xf numFmtId="0" fontId="0" fillId="30" borderId="22" xfId="0" applyFill="1" applyBorder="1" applyAlignment="1">
      <alignment horizontal="center" vertical="center"/>
    </xf>
    <xf numFmtId="0" fontId="0" fillId="30" borderId="135" xfId="0" applyFill="1" applyBorder="1" applyAlignment="1">
      <alignment horizontal="center" vertical="center"/>
    </xf>
    <xf numFmtId="0" fontId="0" fillId="30" borderId="136" xfId="0" applyFill="1" applyBorder="1" applyAlignment="1">
      <alignment horizontal="left" vertical="center"/>
    </xf>
    <xf numFmtId="0" fontId="59" fillId="30" borderId="137" xfId="0" applyFont="1" applyFill="1" applyBorder="1" applyAlignment="1">
      <alignment horizontal="left" vertical="center"/>
    </xf>
    <xf numFmtId="0" fontId="0" fillId="30" borderId="72" xfId="0" applyNumberFormat="1" applyFill="1" applyBorder="1" applyAlignment="1">
      <alignment horizontal="right" vertical="center"/>
    </xf>
    <xf numFmtId="0" fontId="70" fillId="30" borderId="0" xfId="0" applyFont="1" applyFill="1"/>
    <xf numFmtId="176" fontId="0" fillId="30" borderId="84" xfId="0" applyNumberFormat="1" applyFill="1" applyBorder="1"/>
    <xf numFmtId="176" fontId="0" fillId="30" borderId="52" xfId="0" applyNumberFormat="1" applyFill="1" applyBorder="1"/>
    <xf numFmtId="176" fontId="0" fillId="30" borderId="81" xfId="0" applyNumberFormat="1" applyFill="1" applyBorder="1"/>
    <xf numFmtId="176" fontId="0" fillId="30" borderId="30" xfId="0" applyNumberFormat="1" applyFill="1" applyBorder="1"/>
    <xf numFmtId="176" fontId="0" fillId="30" borderId="48" xfId="0" applyNumberFormat="1" applyFill="1" applyBorder="1"/>
    <xf numFmtId="176" fontId="0" fillId="32" borderId="85" xfId="0" applyNumberFormat="1" applyFill="1" applyBorder="1"/>
    <xf numFmtId="176" fontId="0" fillId="30" borderId="85" xfId="0" applyNumberFormat="1" applyFill="1" applyBorder="1"/>
    <xf numFmtId="176" fontId="0" fillId="30" borderId="89" xfId="0" applyNumberFormat="1" applyFill="1" applyBorder="1"/>
    <xf numFmtId="176" fontId="0" fillId="30" borderId="54" xfId="0" applyNumberFormat="1" applyFill="1" applyBorder="1"/>
    <xf numFmtId="176" fontId="0" fillId="30" borderId="95" xfId="0" applyNumberFormat="1" applyFill="1" applyBorder="1"/>
    <xf numFmtId="0" fontId="62" fillId="30" borderId="61" xfId="0" applyFont="1" applyFill="1" applyBorder="1" applyAlignment="1">
      <alignment horizontal="center" vertical="center" wrapText="1"/>
    </xf>
    <xf numFmtId="0" fontId="62" fillId="30" borderId="103" xfId="0" applyFont="1" applyFill="1" applyBorder="1" applyAlignment="1">
      <alignment horizontal="center" vertical="center" wrapText="1"/>
    </xf>
    <xf numFmtId="0" fontId="62" fillId="30" borderId="59" xfId="0" applyFont="1" applyFill="1" applyBorder="1" applyAlignment="1">
      <alignment horizontal="center" vertical="center" wrapText="1"/>
    </xf>
    <xf numFmtId="176" fontId="0" fillId="32" borderId="95" xfId="0" applyNumberFormat="1" applyFill="1" applyBorder="1"/>
    <xf numFmtId="0" fontId="0" fillId="30" borderId="141" xfId="0" applyFill="1" applyBorder="1"/>
    <xf numFmtId="176" fontId="0" fillId="30" borderId="148" xfId="0" applyNumberFormat="1" applyFill="1" applyBorder="1"/>
    <xf numFmtId="176" fontId="0" fillId="30" borderId="149" xfId="0" applyNumberFormat="1" applyFill="1" applyBorder="1"/>
    <xf numFmtId="176" fontId="0" fillId="30" borderId="150" xfId="0" applyNumberFormat="1" applyFill="1" applyBorder="1"/>
    <xf numFmtId="176" fontId="0" fillId="30" borderId="151" xfId="0" applyNumberFormat="1" applyFill="1" applyBorder="1"/>
    <xf numFmtId="0" fontId="62" fillId="30" borderId="138" xfId="0" applyFont="1" applyFill="1" applyBorder="1" applyAlignment="1">
      <alignment horizontal="center" vertical="center" wrapText="1"/>
    </xf>
    <xf numFmtId="0" fontId="0" fillId="30" borderId="140" xfId="0" applyFill="1" applyBorder="1" applyAlignment="1">
      <alignment horizontal="left" vertical="center"/>
    </xf>
    <xf numFmtId="0" fontId="0" fillId="30" borderId="141" xfId="0" applyFill="1" applyBorder="1" applyAlignment="1">
      <alignment horizontal="left" vertical="center"/>
    </xf>
    <xf numFmtId="10" fontId="0" fillId="30" borderId="68" xfId="0" applyNumberFormat="1" applyFill="1" applyBorder="1" applyAlignment="1">
      <alignment horizontal="right" vertical="center"/>
    </xf>
    <xf numFmtId="10" fontId="0" fillId="30" borderId="55" xfId="0" applyNumberFormat="1" applyFill="1" applyBorder="1" applyAlignment="1">
      <alignment horizontal="right" vertical="center"/>
    </xf>
    <xf numFmtId="10" fontId="0" fillId="30" borderId="105" xfId="0" applyNumberFormat="1" applyFill="1" applyBorder="1" applyAlignment="1">
      <alignment horizontal="right" vertical="center"/>
    </xf>
    <xf numFmtId="0" fontId="0" fillId="30" borderId="39" xfId="0" applyFill="1" applyBorder="1" applyAlignment="1">
      <alignment horizontal="left" vertical="center"/>
    </xf>
    <xf numFmtId="0" fontId="0" fillId="30" borderId="153" xfId="0" applyFill="1" applyBorder="1" applyAlignment="1">
      <alignment horizontal="left" vertical="center"/>
    </xf>
    <xf numFmtId="0" fontId="62" fillId="0" borderId="36" xfId="0" applyFont="1" applyFill="1" applyBorder="1" applyAlignment="1">
      <alignment horizontal="left" vertical="center"/>
    </xf>
    <xf numFmtId="0" fontId="62" fillId="0" borderId="83" xfId="0" applyFont="1" applyFill="1" applyBorder="1" applyAlignment="1">
      <alignment horizontal="center" vertical="center"/>
    </xf>
    <xf numFmtId="0" fontId="0" fillId="30" borderId="36" xfId="0" applyFill="1" applyBorder="1" applyAlignment="1">
      <alignment horizontal="left" vertical="center"/>
    </xf>
    <xf numFmtId="4" fontId="0" fillId="30" borderId="92" xfId="0" applyNumberFormat="1" applyFill="1" applyBorder="1" applyAlignment="1">
      <alignment horizontal="right" vertical="center"/>
    </xf>
    <xf numFmtId="4" fontId="0" fillId="30" borderId="88" xfId="0" applyNumberFormat="1" applyFill="1" applyBorder="1" applyAlignment="1">
      <alignment horizontal="right" vertical="center"/>
    </xf>
    <xf numFmtId="176" fontId="65" fillId="30" borderId="120" xfId="0" applyNumberFormat="1" applyFont="1" applyFill="1" applyBorder="1" applyAlignment="1">
      <alignment horizontal="center" vertical="center"/>
    </xf>
    <xf numFmtId="176" fontId="65" fillId="30" borderId="123" xfId="0" applyNumberFormat="1" applyFont="1" applyFill="1" applyBorder="1" applyAlignment="1">
      <alignment horizontal="center" vertical="center"/>
    </xf>
    <xf numFmtId="0" fontId="0" fillId="30" borderId="0" xfId="0" applyFill="1" applyBorder="1" applyAlignment="1">
      <alignment vertical="center"/>
    </xf>
    <xf numFmtId="0" fontId="0" fillId="30" borderId="0" xfId="0" applyFill="1" applyBorder="1" applyAlignment="1">
      <alignment horizontal="left" vertical="center"/>
    </xf>
    <xf numFmtId="4" fontId="0" fillId="30" borderId="68" xfId="0" applyNumberFormat="1" applyFill="1" applyBorder="1" applyAlignment="1">
      <alignment horizontal="right" vertical="center"/>
    </xf>
    <xf numFmtId="4" fontId="0" fillId="30" borderId="55" xfId="0" applyNumberFormat="1" applyFill="1" applyBorder="1" applyAlignment="1">
      <alignment horizontal="right" vertical="center"/>
    </xf>
    <xf numFmtId="0" fontId="0" fillId="30" borderId="34" xfId="0" applyFill="1" applyBorder="1" applyAlignment="1">
      <alignment horizontal="center" vertical="center" wrapText="1"/>
    </xf>
    <xf numFmtId="0" fontId="34" fillId="30" borderId="0" xfId="258" applyFont="1" applyFill="1" applyBorder="1" applyAlignment="1" applyProtection="1">
      <alignment vertical="center"/>
    </xf>
    <xf numFmtId="0" fontId="0" fillId="30" borderId="36" xfId="0" applyFont="1" applyFill="1" applyBorder="1" applyAlignment="1">
      <alignment horizontal="left" vertical="center"/>
    </xf>
    <xf numFmtId="0" fontId="62" fillId="30" borderId="25" xfId="0" applyFont="1" applyFill="1" applyBorder="1" applyAlignment="1">
      <alignment horizontal="center" vertical="center"/>
    </xf>
    <xf numFmtId="0" fontId="62" fillId="30" borderId="128" xfId="0" applyFont="1" applyFill="1" applyBorder="1" applyAlignment="1">
      <alignment horizontal="center" vertical="center" wrapText="1"/>
    </xf>
    <xf numFmtId="176" fontId="65" fillId="30" borderId="110" xfId="0" applyNumberFormat="1" applyFont="1" applyFill="1" applyBorder="1" applyAlignment="1">
      <alignment horizontal="center" vertical="center"/>
    </xf>
    <xf numFmtId="176" fontId="65" fillId="30" borderId="124" xfId="0" applyNumberFormat="1" applyFont="1" applyFill="1" applyBorder="1" applyAlignment="1">
      <alignment horizontal="center" vertical="center"/>
    </xf>
    <xf numFmtId="176" fontId="65" fillId="30" borderId="126" xfId="0" applyNumberFormat="1" applyFont="1" applyFill="1" applyBorder="1" applyAlignment="1">
      <alignment horizontal="center" vertical="center"/>
    </xf>
    <xf numFmtId="176" fontId="65" fillId="30" borderId="115" xfId="0" applyNumberFormat="1" applyFont="1" applyFill="1" applyBorder="1" applyAlignment="1">
      <alignment horizontal="center" vertical="center"/>
    </xf>
    <xf numFmtId="0" fontId="0" fillId="30" borderId="156" xfId="0" applyFill="1" applyBorder="1" applyAlignment="1">
      <alignment horizontal="center" vertical="center"/>
    </xf>
    <xf numFmtId="0" fontId="70" fillId="0" borderId="0" xfId="0" applyFont="1" applyAlignment="1" applyProtection="1">
      <alignment vertical="center"/>
    </xf>
    <xf numFmtId="4" fontId="0" fillId="30" borderId="83" xfId="0" applyNumberFormat="1" applyFill="1" applyBorder="1" applyAlignment="1">
      <alignment horizontal="center" vertical="center"/>
    </xf>
    <xf numFmtId="4" fontId="0" fillId="30" borderId="76" xfId="0" applyNumberFormat="1" applyFill="1" applyBorder="1" applyAlignment="1">
      <alignment horizontal="center" vertical="center"/>
    </xf>
    <xf numFmtId="177" fontId="0" fillId="30" borderId="63" xfId="0" applyNumberFormat="1" applyFill="1" applyBorder="1"/>
    <xf numFmtId="177" fontId="0" fillId="30" borderId="72" xfId="0" applyNumberFormat="1" applyFill="1" applyBorder="1"/>
    <xf numFmtId="177" fontId="0" fillId="30" borderId="76" xfId="0" applyNumberFormat="1" applyFill="1" applyBorder="1"/>
    <xf numFmtId="177" fontId="0" fillId="30" borderId="14" xfId="0" applyNumberFormat="1" applyFill="1" applyBorder="1"/>
    <xf numFmtId="177" fontId="0" fillId="30" borderId="48" xfId="0" applyNumberFormat="1" applyFill="1" applyBorder="1"/>
    <xf numFmtId="177" fontId="0" fillId="32" borderId="48" xfId="0" applyNumberFormat="1" applyFill="1" applyBorder="1"/>
    <xf numFmtId="177" fontId="0" fillId="32" borderId="76" xfId="0" applyNumberFormat="1" applyFill="1" applyBorder="1"/>
    <xf numFmtId="177" fontId="0" fillId="30" borderId="40" xfId="0" applyNumberFormat="1" applyFill="1" applyBorder="1"/>
    <xf numFmtId="177" fontId="0" fillId="32" borderId="72" xfId="0" applyNumberFormat="1" applyFill="1" applyBorder="1"/>
    <xf numFmtId="177" fontId="0" fillId="32" borderId="30" xfId="0" applyNumberFormat="1" applyFill="1" applyBorder="1"/>
    <xf numFmtId="177" fontId="0" fillId="32" borderId="14" xfId="0" applyNumberFormat="1" applyFill="1" applyBorder="1"/>
    <xf numFmtId="177" fontId="0" fillId="32" borderId="63" xfId="0" applyNumberFormat="1" applyFill="1" applyBorder="1"/>
    <xf numFmtId="177" fontId="0" fillId="32" borderId="40" xfId="0" applyNumberFormat="1" applyFill="1" applyBorder="1"/>
    <xf numFmtId="177" fontId="0" fillId="30" borderId="72" xfId="0" quotePrefix="1" applyNumberFormat="1" applyFill="1" applyBorder="1"/>
    <xf numFmtId="177" fontId="0" fillId="30" borderId="30" xfId="0" applyNumberFormat="1" applyFill="1" applyBorder="1"/>
    <xf numFmtId="177" fontId="0" fillId="30" borderId="146" xfId="0" applyNumberFormat="1" applyFill="1" applyBorder="1"/>
    <xf numFmtId="177" fontId="0" fillId="30" borderId="92" xfId="0" applyNumberFormat="1" applyFill="1" applyBorder="1"/>
    <xf numFmtId="177" fontId="0" fillId="30" borderId="88" xfId="0" applyNumberFormat="1" applyFill="1" applyBorder="1"/>
    <xf numFmtId="177" fontId="0" fillId="30" borderId="33" xfId="0" applyNumberFormat="1" applyFill="1" applyBorder="1"/>
    <xf numFmtId="177" fontId="0" fillId="30" borderId="54" xfId="0" applyNumberFormat="1" applyFill="1" applyBorder="1"/>
    <xf numFmtId="177" fontId="0" fillId="32" borderId="54" xfId="0" applyNumberFormat="1" applyFill="1" applyBorder="1"/>
    <xf numFmtId="177" fontId="0" fillId="30" borderId="96" xfId="0" applyNumberFormat="1" applyFill="1" applyBorder="1"/>
    <xf numFmtId="177" fontId="0" fillId="32" borderId="89" xfId="0" applyNumberFormat="1" applyFill="1" applyBorder="1"/>
    <xf numFmtId="177" fontId="0" fillId="32" borderId="33" xfId="0" applyNumberFormat="1" applyFill="1" applyBorder="1"/>
    <xf numFmtId="177" fontId="0" fillId="32" borderId="146" xfId="0" applyNumberFormat="1" applyFill="1" applyBorder="1"/>
    <xf numFmtId="177" fontId="0" fillId="32" borderId="92" xfId="0" applyNumberFormat="1" applyFill="1" applyBorder="1"/>
    <xf numFmtId="177" fontId="0" fillId="32" borderId="88" xfId="0" applyNumberFormat="1" applyFill="1" applyBorder="1"/>
    <xf numFmtId="177" fontId="0" fillId="32" borderId="96" xfId="0" applyNumberFormat="1" applyFill="1" applyBorder="1"/>
    <xf numFmtId="177" fontId="0" fillId="32" borderId="71" xfId="0" applyNumberFormat="1" applyFill="1" applyBorder="1"/>
    <xf numFmtId="177" fontId="0" fillId="30" borderId="71" xfId="0" applyNumberFormat="1" applyFill="1" applyBorder="1"/>
    <xf numFmtId="177" fontId="0" fillId="32" borderId="94" xfId="0" applyNumberFormat="1" applyFill="1" applyBorder="1"/>
    <xf numFmtId="0" fontId="0" fillId="30" borderId="40" xfId="0" applyNumberFormat="1" applyFill="1" applyBorder="1"/>
    <xf numFmtId="177" fontId="0" fillId="32" borderId="85" xfId="0" applyNumberFormat="1" applyFill="1" applyBorder="1"/>
    <xf numFmtId="0" fontId="0" fillId="30" borderId="48" xfId="0" applyNumberFormat="1" applyFill="1" applyBorder="1"/>
    <xf numFmtId="0" fontId="0" fillId="30" borderId="14" xfId="0" quotePrefix="1" applyFill="1" applyBorder="1"/>
    <xf numFmtId="0" fontId="0" fillId="30" borderId="42" xfId="0" applyFill="1" applyBorder="1"/>
    <xf numFmtId="0" fontId="0" fillId="30" borderId="135" xfId="0" applyFill="1" applyBorder="1"/>
    <xf numFmtId="0" fontId="62" fillId="30" borderId="157" xfId="0" applyFont="1" applyFill="1" applyBorder="1" applyAlignment="1">
      <alignment horizontal="center" vertical="center"/>
    </xf>
    <xf numFmtId="0" fontId="62" fillId="30" borderId="139" xfId="0" applyFont="1" applyFill="1" applyBorder="1" applyAlignment="1">
      <alignment horizontal="center" vertical="center" wrapText="1"/>
    </xf>
    <xf numFmtId="176" fontId="0" fillId="32" borderId="48" xfId="0" applyNumberFormat="1" applyFill="1" applyBorder="1"/>
    <xf numFmtId="176" fontId="0" fillId="32" borderId="76" xfId="0" applyNumberFormat="1" applyFill="1" applyBorder="1"/>
    <xf numFmtId="176" fontId="0" fillId="32" borderId="30" xfId="0" applyNumberFormat="1" applyFill="1" applyBorder="1"/>
    <xf numFmtId="176" fontId="0" fillId="32" borderId="72" xfId="0" applyNumberFormat="1" applyFill="1" applyBorder="1"/>
    <xf numFmtId="176" fontId="0" fillId="30" borderId="63" xfId="0" applyNumberFormat="1" applyFill="1" applyBorder="1"/>
    <xf numFmtId="176" fontId="0" fillId="32" borderId="63" xfId="0" applyNumberFormat="1" applyFill="1" applyBorder="1"/>
    <xf numFmtId="176" fontId="0" fillId="30" borderId="71" xfId="0" applyNumberFormat="1" applyFill="1" applyBorder="1"/>
    <xf numFmtId="176" fontId="0" fillId="30" borderId="14" xfId="0" applyNumberFormat="1" applyFill="1" applyBorder="1"/>
    <xf numFmtId="0" fontId="65" fillId="30" borderId="161" xfId="0" applyFont="1" applyFill="1" applyBorder="1" applyAlignment="1">
      <alignment horizontal="center" vertical="center"/>
    </xf>
    <xf numFmtId="0" fontId="65" fillId="30" borderId="162" xfId="0" applyFont="1" applyFill="1" applyBorder="1" applyAlignment="1">
      <alignment horizontal="center" vertical="center"/>
    </xf>
    <xf numFmtId="0" fontId="65" fillId="30" borderId="162" xfId="0" applyFont="1" applyFill="1" applyBorder="1" applyAlignment="1">
      <alignment horizontal="left" vertical="center"/>
    </xf>
    <xf numFmtId="0" fontId="65" fillId="30" borderId="163" xfId="0" applyFont="1" applyFill="1" applyBorder="1" applyAlignment="1">
      <alignment horizontal="center" vertical="center"/>
    </xf>
    <xf numFmtId="0" fontId="65" fillId="30" borderId="164" xfId="0" applyFont="1" applyFill="1" applyBorder="1" applyAlignment="1">
      <alignment horizontal="center" vertical="center"/>
    </xf>
    <xf numFmtId="176" fontId="65" fillId="30" borderId="165" xfId="0" applyNumberFormat="1" applyFont="1" applyFill="1" applyBorder="1" applyAlignment="1">
      <alignment horizontal="center" vertical="center"/>
    </xf>
    <xf numFmtId="176" fontId="65" fillId="30" borderId="166" xfId="0" applyNumberFormat="1" applyFont="1" applyFill="1" applyBorder="1" applyAlignment="1">
      <alignment horizontal="center" vertical="center"/>
    </xf>
    <xf numFmtId="0" fontId="0" fillId="30" borderId="48" xfId="0" applyNumberFormat="1" applyFill="1" applyBorder="1" applyAlignment="1">
      <alignment horizontal="right" vertical="center"/>
    </xf>
    <xf numFmtId="0" fontId="0" fillId="30" borderId="76" xfId="0" applyNumberFormat="1" applyFill="1" applyBorder="1" applyAlignment="1">
      <alignment horizontal="right" vertical="center"/>
    </xf>
    <xf numFmtId="10" fontId="56" fillId="30" borderId="72" xfId="158" applyNumberFormat="1" applyFont="1" applyFill="1" applyBorder="1" applyAlignment="1">
      <alignment horizontal="center" vertical="center"/>
    </xf>
    <xf numFmtId="10" fontId="56" fillId="36" borderId="73" xfId="158" applyNumberFormat="1" applyFont="1" applyFill="1" applyBorder="1" applyAlignment="1">
      <alignment horizontal="center" vertical="center"/>
    </xf>
    <xf numFmtId="0" fontId="0" fillId="32" borderId="73" xfId="0" applyFill="1" applyBorder="1" applyAlignment="1">
      <alignment horizontal="center" vertical="center"/>
    </xf>
    <xf numFmtId="10" fontId="0" fillId="30" borderId="72" xfId="158" applyNumberFormat="1" applyFont="1" applyFill="1" applyBorder="1" applyAlignment="1">
      <alignment horizontal="center" vertical="center"/>
    </xf>
    <xf numFmtId="10" fontId="0" fillId="30" borderId="127" xfId="158" applyNumberFormat="1" applyFont="1" applyFill="1" applyBorder="1" applyAlignment="1">
      <alignment horizontal="center" vertical="center"/>
    </xf>
    <xf numFmtId="10" fontId="56" fillId="30" borderId="87" xfId="158" applyNumberFormat="1" applyFont="1" applyFill="1" applyBorder="1" applyAlignment="1">
      <alignment horizontal="center" vertical="center"/>
    </xf>
    <xf numFmtId="176" fontId="0" fillId="32" borderId="74" xfId="0" applyNumberFormat="1" applyFill="1" applyBorder="1" applyAlignment="1">
      <alignment horizontal="right" vertical="center"/>
    </xf>
    <xf numFmtId="0" fontId="0" fillId="30" borderId="31" xfId="0" applyFill="1" applyBorder="1" applyAlignment="1">
      <alignment horizontal="left" vertical="center"/>
    </xf>
    <xf numFmtId="0" fontId="0" fillId="38" borderId="31" xfId="0" applyFill="1" applyBorder="1" applyAlignment="1">
      <alignment horizontal="left" vertical="center"/>
    </xf>
    <xf numFmtId="0" fontId="0" fillId="38" borderId="20" xfId="0" applyFill="1" applyBorder="1" applyAlignment="1">
      <alignment horizontal="left" vertical="center"/>
    </xf>
    <xf numFmtId="0" fontId="0" fillId="38" borderId="23" xfId="0" applyFill="1" applyBorder="1" applyAlignment="1">
      <alignment horizontal="left" vertical="center"/>
    </xf>
    <xf numFmtId="0" fontId="0" fillId="0" borderId="71" xfId="0" applyFill="1" applyBorder="1" applyAlignment="1">
      <alignment horizontal="left" vertical="center" wrapText="1"/>
    </xf>
    <xf numFmtId="0" fontId="62" fillId="0" borderId="65" xfId="0" applyFont="1" applyFill="1" applyBorder="1" applyAlignment="1">
      <alignment horizontal="left" vertical="center"/>
    </xf>
    <xf numFmtId="0" fontId="62" fillId="0" borderId="136" xfId="0" applyFont="1" applyFill="1" applyBorder="1" applyAlignment="1">
      <alignment horizontal="center" vertical="center" wrapText="1"/>
    </xf>
    <xf numFmtId="176" fontId="0" fillId="30" borderId="127" xfId="0" applyNumberFormat="1" applyFill="1" applyBorder="1" applyAlignment="1">
      <alignment horizontal="right" vertical="center"/>
    </xf>
    <xf numFmtId="3" fontId="0" fillId="30" borderId="57" xfId="0" applyNumberFormat="1" applyFill="1" applyBorder="1" applyAlignment="1">
      <alignment horizontal="center" vertical="center"/>
    </xf>
    <xf numFmtId="3" fontId="0" fillId="30" borderId="81" xfId="0" applyNumberFormat="1" applyFill="1" applyBorder="1" applyAlignment="1">
      <alignment horizontal="right" vertical="center"/>
    </xf>
    <xf numFmtId="3" fontId="0" fillId="30" borderId="86" xfId="0" applyNumberFormat="1" applyFill="1" applyBorder="1" applyAlignment="1">
      <alignment horizontal="right" vertical="center"/>
    </xf>
    <xf numFmtId="3" fontId="0" fillId="30" borderId="57" xfId="0" applyNumberFormat="1" applyFill="1" applyBorder="1" applyAlignment="1">
      <alignment horizontal="right" vertical="center"/>
    </xf>
    <xf numFmtId="0" fontId="0" fillId="30" borderId="14" xfId="0" applyFill="1" applyBorder="1" applyAlignment="1">
      <alignment horizontal="center" vertical="center"/>
    </xf>
    <xf numFmtId="0" fontId="0" fillId="30" borderId="0" xfId="0" applyFill="1" applyBorder="1" applyAlignment="1">
      <alignment horizontal="center" vertical="center"/>
    </xf>
    <xf numFmtId="0" fontId="0" fillId="32" borderId="59" xfId="0" applyFill="1" applyBorder="1" applyAlignment="1">
      <alignment horizontal="left" vertical="center"/>
    </xf>
    <xf numFmtId="0" fontId="0" fillId="32" borderId="61" xfId="0" applyFill="1" applyBorder="1" applyAlignment="1">
      <alignment horizontal="left" vertical="center"/>
    </xf>
    <xf numFmtId="0" fontId="0" fillId="30" borderId="15" xfId="0" applyFill="1" applyBorder="1" applyAlignment="1">
      <alignment vertical="center"/>
    </xf>
    <xf numFmtId="0" fontId="0" fillId="30" borderId="76" xfId="0" applyFill="1" applyBorder="1" applyAlignment="1">
      <alignment vertical="center"/>
    </xf>
    <xf numFmtId="0" fontId="0" fillId="30" borderId="76" xfId="0" applyFont="1" applyFill="1" applyBorder="1" applyAlignment="1"/>
    <xf numFmtId="0" fontId="0" fillId="30" borderId="76" xfId="0" applyFill="1" applyBorder="1"/>
    <xf numFmtId="166" fontId="0" fillId="32" borderId="72" xfId="0" applyNumberFormat="1" applyFill="1" applyBorder="1" applyAlignment="1">
      <alignment horizontal="center" vertical="center"/>
    </xf>
    <xf numFmtId="166" fontId="0" fillId="32" borderId="55" xfId="0" applyNumberFormat="1" applyFill="1" applyBorder="1" applyAlignment="1">
      <alignment horizontal="center" vertical="center"/>
    </xf>
    <xf numFmtId="177" fontId="0" fillId="30" borderId="82" xfId="0" applyNumberFormat="1" applyFill="1" applyBorder="1" applyAlignment="1">
      <alignment horizontal="right" vertical="center"/>
    </xf>
    <xf numFmtId="177" fontId="0" fillId="32" borderId="52" xfId="0" applyNumberFormat="1" applyFill="1" applyBorder="1" applyAlignment="1">
      <alignment horizontal="right" vertical="center"/>
    </xf>
    <xf numFmtId="177" fontId="0" fillId="30" borderId="52" xfId="0" applyNumberFormat="1" applyFill="1" applyBorder="1" applyAlignment="1">
      <alignment horizontal="right" vertical="center"/>
    </xf>
    <xf numFmtId="177" fontId="0" fillId="32" borderId="81" xfId="0" applyNumberFormat="1" applyFill="1" applyBorder="1" applyAlignment="1">
      <alignment horizontal="right" vertical="center"/>
    </xf>
    <xf numFmtId="177" fontId="0" fillId="32" borderId="82" xfId="0" applyNumberFormat="1" applyFill="1" applyBorder="1" applyAlignment="1">
      <alignment horizontal="right" vertical="center"/>
    </xf>
    <xf numFmtId="177" fontId="0" fillId="32" borderId="68" xfId="0" applyNumberFormat="1" applyFill="1" applyBorder="1" applyAlignment="1">
      <alignment horizontal="right" vertical="center"/>
    </xf>
    <xf numFmtId="177" fontId="0" fillId="30" borderId="72" xfId="0" applyNumberFormat="1" applyFill="1" applyBorder="1" applyAlignment="1">
      <alignment horizontal="right" vertical="center"/>
    </xf>
    <xf numFmtId="177" fontId="0" fillId="32" borderId="48" xfId="0" applyNumberFormat="1" applyFill="1" applyBorder="1" applyAlignment="1">
      <alignment horizontal="right" vertical="center"/>
    </xf>
    <xf numFmtId="177" fontId="0" fillId="30" borderId="48" xfId="0" applyNumberFormat="1" applyFill="1" applyBorder="1" applyAlignment="1">
      <alignment horizontal="right" vertical="center"/>
    </xf>
    <xf numFmtId="177" fontId="0" fillId="32" borderId="85" xfId="0" applyNumberFormat="1" applyFill="1" applyBorder="1" applyAlignment="1">
      <alignment horizontal="right" vertical="center"/>
    </xf>
    <xf numFmtId="177" fontId="0" fillId="32" borderId="72" xfId="0" applyNumberFormat="1" applyFill="1" applyBorder="1" applyAlignment="1">
      <alignment horizontal="right" vertical="center"/>
    </xf>
    <xf numFmtId="177" fontId="0" fillId="32" borderId="55" xfId="0" applyNumberFormat="1" applyFill="1" applyBorder="1" applyAlignment="1">
      <alignment horizontal="right" vertical="center"/>
    </xf>
    <xf numFmtId="177" fontId="0" fillId="32" borderId="92" xfId="0" applyNumberFormat="1" applyFill="1" applyBorder="1" applyAlignment="1">
      <alignment horizontal="right" vertical="center"/>
    </xf>
    <xf numFmtId="177" fontId="0" fillId="32" borderId="54" xfId="0" applyNumberFormat="1" applyFill="1" applyBorder="1" applyAlignment="1">
      <alignment horizontal="right" vertical="center"/>
    </xf>
    <xf numFmtId="177" fontId="0" fillId="30" borderId="54" xfId="0" applyNumberFormat="1" applyFill="1" applyBorder="1" applyAlignment="1">
      <alignment horizontal="right" vertical="center"/>
    </xf>
    <xf numFmtId="177" fontId="0" fillId="30" borderId="95" xfId="0" applyNumberFormat="1" applyFill="1" applyBorder="1" applyAlignment="1">
      <alignment horizontal="right" vertical="center"/>
    </xf>
    <xf numFmtId="177" fontId="0" fillId="32" borderId="95" xfId="0" applyNumberFormat="1" applyFill="1" applyBorder="1" applyAlignment="1">
      <alignment horizontal="right" vertical="center"/>
    </xf>
    <xf numFmtId="177" fontId="0" fillId="32" borderId="76" xfId="0" applyNumberFormat="1" applyFill="1" applyBorder="1" applyAlignment="1">
      <alignment horizontal="right" vertical="center"/>
    </xf>
    <xf numFmtId="177" fontId="0" fillId="30" borderId="55" xfId="0" applyNumberFormat="1" applyFill="1" applyBorder="1" applyAlignment="1">
      <alignment horizontal="right" vertical="center"/>
    </xf>
    <xf numFmtId="0" fontId="0" fillId="30" borderId="16" xfId="0" applyFill="1" applyBorder="1" applyAlignment="1">
      <alignment vertical="center"/>
    </xf>
    <xf numFmtId="0" fontId="0" fillId="30" borderId="175" xfId="0" applyFill="1" applyBorder="1" applyAlignment="1">
      <alignment vertical="center"/>
    </xf>
    <xf numFmtId="3" fontId="0" fillId="30" borderId="168" xfId="0" applyNumberFormat="1" applyFill="1" applyBorder="1" applyAlignment="1">
      <alignment horizontal="right" vertical="center"/>
    </xf>
    <xf numFmtId="3" fontId="0" fillId="30" borderId="56" xfId="0" applyNumberFormat="1" applyFill="1" applyBorder="1" applyAlignment="1">
      <alignment horizontal="right" vertical="center"/>
    </xf>
    <xf numFmtId="3" fontId="0" fillId="30" borderId="97" xfId="0" applyNumberFormat="1" applyFill="1" applyBorder="1" applyAlignment="1">
      <alignment horizontal="right" vertical="center"/>
    </xf>
    <xf numFmtId="3" fontId="0" fillId="30" borderId="176" xfId="0" applyNumberFormat="1" applyFill="1" applyBorder="1" applyAlignment="1">
      <alignment horizontal="right" vertical="center"/>
    </xf>
    <xf numFmtId="176" fontId="0" fillId="30" borderId="45" xfId="0" applyNumberFormat="1" applyFill="1" applyBorder="1" applyAlignment="1">
      <alignment horizontal="right" vertical="center"/>
    </xf>
    <xf numFmtId="176" fontId="0" fillId="30" borderId="97" xfId="0" applyNumberFormat="1" applyFill="1" applyBorder="1" applyAlignment="1">
      <alignment horizontal="right" vertical="center"/>
    </xf>
    <xf numFmtId="176" fontId="0" fillId="30" borderId="56" xfId="0" applyNumberFormat="1" applyFill="1" applyBorder="1" applyAlignment="1">
      <alignment horizontal="right" vertical="center"/>
    </xf>
    <xf numFmtId="176" fontId="0" fillId="30" borderId="176" xfId="0" applyNumberFormat="1" applyFill="1" applyBorder="1" applyAlignment="1">
      <alignment horizontal="right" vertical="center"/>
    </xf>
    <xf numFmtId="4" fontId="0" fillId="30" borderId="81" xfId="0" applyNumberFormat="1" applyFill="1" applyBorder="1" applyAlignment="1">
      <alignment horizontal="right" vertical="center"/>
    </xf>
    <xf numFmtId="4" fontId="0" fillId="30" borderId="79" xfId="0" applyNumberFormat="1" applyFill="1" applyBorder="1" applyAlignment="1">
      <alignment horizontal="right" vertical="center"/>
    </xf>
    <xf numFmtId="4" fontId="0" fillId="30" borderId="86" xfId="0" applyNumberFormat="1" applyFill="1" applyBorder="1" applyAlignment="1">
      <alignment horizontal="right" vertical="center"/>
    </xf>
    <xf numFmtId="4" fontId="0" fillId="30" borderId="69" xfId="0" applyNumberFormat="1" applyFill="1" applyBorder="1" applyAlignment="1">
      <alignment horizontal="right" vertical="center"/>
    </xf>
    <xf numFmtId="4" fontId="0" fillId="30" borderId="50" xfId="0" applyNumberFormat="1" applyFill="1" applyBorder="1" applyAlignment="1">
      <alignment horizontal="right" vertical="center"/>
    </xf>
    <xf numFmtId="4" fontId="0" fillId="30" borderId="57" xfId="0" applyNumberFormat="1" applyFill="1" applyBorder="1" applyAlignment="1">
      <alignment horizontal="right" vertical="center"/>
    </xf>
    <xf numFmtId="4" fontId="0" fillId="30" borderId="58" xfId="0" applyNumberFormat="1" applyFill="1" applyBorder="1" applyAlignment="1">
      <alignment horizontal="right" vertical="center"/>
    </xf>
    <xf numFmtId="4" fontId="0" fillId="30" borderId="78" xfId="0" applyNumberFormat="1" applyFill="1" applyBorder="1" applyAlignment="1">
      <alignment horizontal="right" vertical="center"/>
    </xf>
    <xf numFmtId="4" fontId="0" fillId="30" borderId="73" xfId="0" applyNumberFormat="1" applyFill="1" applyBorder="1" applyAlignment="1">
      <alignment horizontal="right" vertical="center"/>
    </xf>
    <xf numFmtId="177" fontId="0" fillId="32" borderId="46" xfId="0" applyNumberFormat="1" applyFill="1" applyBorder="1" applyAlignment="1">
      <alignment horizontal="right" vertical="center"/>
    </xf>
    <xf numFmtId="177" fontId="0" fillId="32" borderId="56" xfId="0" applyNumberFormat="1" applyFill="1" applyBorder="1" applyAlignment="1">
      <alignment horizontal="right" vertical="center"/>
    </xf>
    <xf numFmtId="177" fontId="0" fillId="32" borderId="97" xfId="0" applyNumberFormat="1" applyFill="1" applyBorder="1" applyAlignment="1">
      <alignment horizontal="right" vertical="center"/>
    </xf>
    <xf numFmtId="176" fontId="0" fillId="30" borderId="160" xfId="0" applyNumberFormat="1" applyFill="1" applyBorder="1" applyAlignment="1">
      <alignment horizontal="right" vertical="center"/>
    </xf>
    <xf numFmtId="176" fontId="0" fillId="30" borderId="29" xfId="0" applyNumberFormat="1" applyFill="1" applyBorder="1" applyAlignment="1">
      <alignment horizontal="right" vertical="center"/>
    </xf>
    <xf numFmtId="176" fontId="0" fillId="30" borderId="41" xfId="0" applyNumberFormat="1" applyFill="1" applyBorder="1" applyAlignment="1">
      <alignment horizontal="right" vertical="center"/>
    </xf>
    <xf numFmtId="176" fontId="0" fillId="30" borderId="171" xfId="0" applyNumberFormat="1" applyFill="1" applyBorder="1" applyAlignment="1">
      <alignment horizontal="right" vertical="center"/>
    </xf>
    <xf numFmtId="176" fontId="0" fillId="30" borderId="159" xfId="0" applyNumberFormat="1" applyFill="1" applyBorder="1" applyAlignment="1">
      <alignment horizontal="right" vertical="center"/>
    </xf>
    <xf numFmtId="177" fontId="0" fillId="32" borderId="160" xfId="0" applyNumberFormat="1" applyFill="1" applyBorder="1" applyAlignment="1">
      <alignment horizontal="right" vertical="center"/>
    </xf>
    <xf numFmtId="177" fontId="0" fillId="32" borderId="29" xfId="0" applyNumberFormat="1" applyFill="1" applyBorder="1" applyAlignment="1">
      <alignment horizontal="right" vertical="center"/>
    </xf>
    <xf numFmtId="166" fontId="0" fillId="32" borderId="29" xfId="0" applyNumberFormat="1" applyFill="1" applyBorder="1" applyAlignment="1">
      <alignment horizontal="center" vertical="center"/>
    </xf>
    <xf numFmtId="0" fontId="0" fillId="32" borderId="41" xfId="0" applyFill="1" applyBorder="1" applyAlignment="1">
      <alignment horizontal="left" vertical="center"/>
    </xf>
    <xf numFmtId="177" fontId="0" fillId="30" borderId="37" xfId="0" applyNumberFormat="1" applyFill="1" applyBorder="1" applyAlignment="1">
      <alignment horizontal="right" vertical="center"/>
    </xf>
    <xf numFmtId="177" fontId="0" fillId="32" borderId="40" xfId="0" applyNumberFormat="1" applyFill="1" applyBorder="1" applyAlignment="1">
      <alignment horizontal="right" vertical="center"/>
    </xf>
    <xf numFmtId="0" fontId="0" fillId="30" borderId="43" xfId="0" applyFill="1" applyBorder="1" applyAlignment="1">
      <alignment horizontal="center" vertical="center"/>
    </xf>
    <xf numFmtId="0" fontId="0" fillId="30" borderId="42" xfId="0" applyFill="1" applyBorder="1" applyAlignment="1">
      <alignment horizontal="center" vertical="center"/>
    </xf>
    <xf numFmtId="177" fontId="0" fillId="30" borderId="96" xfId="0" applyNumberFormat="1" applyFill="1" applyBorder="1" applyAlignment="1">
      <alignment horizontal="right" vertical="center"/>
    </xf>
    <xf numFmtId="0" fontId="0" fillId="30" borderId="52" xfId="0" applyNumberFormat="1" applyFill="1" applyBorder="1" applyAlignment="1">
      <alignment horizontal="right" vertical="center"/>
    </xf>
    <xf numFmtId="177" fontId="0" fillId="30" borderId="177" xfId="0" applyNumberFormat="1" applyFill="1" applyBorder="1" applyAlignment="1">
      <alignment horizontal="right" vertical="center"/>
    </xf>
    <xf numFmtId="3" fontId="0" fillId="30" borderId="72" xfId="0" applyNumberFormat="1" applyFill="1" applyBorder="1" applyAlignment="1">
      <alignment horizontal="right" vertical="center"/>
    </xf>
    <xf numFmtId="3" fontId="0" fillId="30" borderId="55" xfId="0" applyNumberFormat="1" applyFill="1" applyBorder="1" applyAlignment="1">
      <alignment horizontal="right" vertical="center"/>
    </xf>
    <xf numFmtId="0" fontId="0" fillId="30" borderId="28" xfId="0" quotePrefix="1" applyFill="1" applyBorder="1"/>
    <xf numFmtId="0" fontId="2" fillId="30" borderId="0" xfId="224" applyFill="1" applyAlignment="1">
      <alignment vertical="center"/>
    </xf>
    <xf numFmtId="0" fontId="62" fillId="30" borderId="67" xfId="224" applyFont="1" applyFill="1" applyBorder="1" applyAlignment="1">
      <alignment vertical="center" wrapText="1"/>
    </xf>
    <xf numFmtId="0" fontId="62" fillId="30" borderId="70" xfId="224" applyFont="1" applyFill="1" applyBorder="1" applyAlignment="1">
      <alignment horizontal="right" vertical="center"/>
    </xf>
    <xf numFmtId="176" fontId="62" fillId="41" borderId="48" xfId="263" applyNumberFormat="1" applyFont="1" applyFill="1" applyBorder="1" applyAlignment="1" applyProtection="1">
      <alignment vertical="center"/>
      <protection locked="0"/>
    </xf>
    <xf numFmtId="176" fontId="62" fillId="41" borderId="72" xfId="263" applyNumberFormat="1" applyFont="1" applyFill="1" applyBorder="1" applyAlignment="1" applyProtection="1">
      <alignment vertical="center"/>
      <protection locked="0"/>
    </xf>
    <xf numFmtId="176" fontId="62" fillId="31" borderId="48" xfId="263" applyNumberFormat="1" applyFont="1" applyFill="1" applyBorder="1" applyAlignment="1" applyProtection="1">
      <alignment vertical="center"/>
      <protection locked="0"/>
    </xf>
    <xf numFmtId="176" fontId="62" fillId="31" borderId="72" xfId="263" applyNumberFormat="1" applyFont="1" applyFill="1" applyBorder="1" applyAlignment="1" applyProtection="1">
      <alignment vertical="center"/>
      <protection locked="0"/>
    </xf>
    <xf numFmtId="0" fontId="62" fillId="30" borderId="14" xfId="224" applyFont="1" applyFill="1" applyBorder="1" applyAlignment="1">
      <alignment vertical="center" wrapText="1"/>
    </xf>
    <xf numFmtId="0" fontId="62" fillId="30" borderId="14" xfId="224" applyFont="1" applyFill="1" applyBorder="1" applyAlignment="1">
      <alignment vertical="center"/>
    </xf>
    <xf numFmtId="0" fontId="62" fillId="30" borderId="15" xfId="224" applyFont="1" applyFill="1" applyBorder="1" applyAlignment="1">
      <alignment horizontal="right" vertical="center"/>
    </xf>
    <xf numFmtId="0" fontId="62" fillId="30" borderId="15" xfId="224" applyFont="1" applyFill="1" applyBorder="1" applyAlignment="1">
      <alignment vertical="center"/>
    </xf>
    <xf numFmtId="0" fontId="74" fillId="30" borderId="14" xfId="224" applyFont="1" applyFill="1" applyBorder="1" applyAlignment="1">
      <alignment vertical="center"/>
    </xf>
    <xf numFmtId="0" fontId="74" fillId="30" borderId="15" xfId="224" applyFont="1" applyFill="1" applyBorder="1" applyAlignment="1">
      <alignment vertical="center"/>
    </xf>
    <xf numFmtId="176" fontId="73" fillId="41" borderId="48" xfId="263" applyNumberFormat="1" applyFont="1" applyFill="1" applyBorder="1" applyAlignment="1" applyProtection="1">
      <alignment vertical="center"/>
      <protection locked="0"/>
    </xf>
    <xf numFmtId="176" fontId="73" fillId="41" borderId="72" xfId="263" applyNumberFormat="1" applyFont="1" applyFill="1" applyBorder="1" applyAlignment="1" applyProtection="1">
      <alignment vertical="center"/>
      <protection locked="0"/>
    </xf>
    <xf numFmtId="176" fontId="73" fillId="31" borderId="48" xfId="263" applyNumberFormat="1" applyFont="1" applyFill="1" applyBorder="1" applyAlignment="1" applyProtection="1">
      <alignment vertical="center"/>
      <protection locked="0"/>
    </xf>
    <xf numFmtId="176" fontId="73" fillId="31" borderId="72" xfId="263" applyNumberFormat="1" applyFont="1" applyFill="1" applyBorder="1" applyAlignment="1" applyProtection="1">
      <alignment vertical="center"/>
      <protection locked="0"/>
    </xf>
    <xf numFmtId="4" fontId="40" fillId="30" borderId="0" xfId="258" applyNumberFormat="1" applyFont="1" applyFill="1" applyAlignment="1">
      <alignment vertical="center"/>
    </xf>
    <xf numFmtId="0" fontId="42" fillId="30" borderId="0" xfId="258" applyFont="1" applyFill="1" applyAlignment="1">
      <alignment vertical="center"/>
    </xf>
    <xf numFmtId="0" fontId="37" fillId="30" borderId="0" xfId="258" applyFont="1" applyFill="1" applyAlignment="1">
      <alignment vertical="center"/>
    </xf>
    <xf numFmtId="0" fontId="34" fillId="30" borderId="0" xfId="258" applyFont="1" applyFill="1" applyAlignment="1">
      <alignment vertical="center"/>
    </xf>
    <xf numFmtId="0" fontId="42" fillId="30" borderId="16" xfId="258" applyFont="1" applyFill="1" applyBorder="1" applyAlignment="1">
      <alignment vertical="center"/>
    </xf>
    <xf numFmtId="0" fontId="62" fillId="30" borderId="0" xfId="0" applyFont="1" applyFill="1" applyAlignment="1">
      <alignment vertical="center"/>
    </xf>
    <xf numFmtId="0" fontId="62" fillId="30" borderId="35" xfId="0" applyFont="1" applyFill="1" applyBorder="1" applyAlignment="1">
      <alignment vertical="center"/>
    </xf>
    <xf numFmtId="0" fontId="62" fillId="30" borderId="80" xfId="0" applyFont="1" applyFill="1" applyBorder="1" applyAlignment="1">
      <alignment vertical="center"/>
    </xf>
    <xf numFmtId="0" fontId="62" fillId="30" borderId="79" xfId="0" applyFont="1" applyFill="1" applyBorder="1" applyAlignment="1">
      <alignment vertical="center"/>
    </xf>
    <xf numFmtId="0" fontId="62" fillId="30" borderId="78" xfId="0" applyFont="1" applyFill="1" applyBorder="1" applyAlignment="1">
      <alignment vertical="center"/>
    </xf>
    <xf numFmtId="0" fontId="62" fillId="30" borderId="136" xfId="0" applyFont="1" applyFill="1" applyBorder="1" applyAlignment="1">
      <alignment vertical="center"/>
    </xf>
    <xf numFmtId="0" fontId="62" fillId="30" borderId="135" xfId="0" applyFont="1" applyFill="1" applyBorder="1" applyAlignment="1">
      <alignment vertical="center"/>
    </xf>
    <xf numFmtId="0" fontId="62" fillId="30" borderId="42" xfId="0" quotePrefix="1" applyFont="1" applyFill="1" applyBorder="1" applyAlignment="1">
      <alignment vertical="center"/>
    </xf>
    <xf numFmtId="0" fontId="62" fillId="30" borderId="54" xfId="0" applyFont="1" applyFill="1" applyBorder="1" applyAlignment="1">
      <alignment vertical="center"/>
    </xf>
    <xf numFmtId="0" fontId="62" fillId="30" borderId="92" xfId="0" applyFont="1" applyFill="1" applyBorder="1" applyAlignment="1">
      <alignment vertical="center"/>
    </xf>
    <xf numFmtId="0" fontId="62" fillId="30" borderId="89" xfId="0" quotePrefix="1" applyFont="1" applyFill="1" applyBorder="1" applyAlignment="1">
      <alignment vertical="center"/>
    </xf>
    <xf numFmtId="0" fontId="62" fillId="30" borderId="182" xfId="0" applyFont="1" applyFill="1" applyBorder="1" applyAlignment="1">
      <alignment vertical="center"/>
    </xf>
    <xf numFmtId="0" fontId="62" fillId="30" borderId="88" xfId="0" applyFont="1" applyFill="1" applyBorder="1" applyAlignment="1">
      <alignment vertical="center"/>
    </xf>
    <xf numFmtId="0" fontId="62" fillId="30" borderId="31" xfId="0" applyFont="1" applyFill="1" applyBorder="1" applyAlignment="1">
      <alignment vertical="center"/>
    </xf>
    <xf numFmtId="0" fontId="62" fillId="30" borderId="76" xfId="0" applyFont="1" applyFill="1" applyBorder="1" applyAlignment="1">
      <alignment vertical="center"/>
    </xf>
    <xf numFmtId="0" fontId="62" fillId="30" borderId="48" xfId="0" applyFont="1" applyFill="1" applyBorder="1" applyAlignment="1">
      <alignment vertical="center"/>
    </xf>
    <xf numFmtId="0" fontId="62" fillId="30" borderId="72" xfId="0" applyFont="1" applyFill="1" applyBorder="1" applyAlignment="1">
      <alignment vertical="center"/>
    </xf>
    <xf numFmtId="0" fontId="62" fillId="30" borderId="30" xfId="0" quotePrefix="1" applyFont="1" applyFill="1" applyBorder="1" applyAlignment="1">
      <alignment vertical="center"/>
    </xf>
    <xf numFmtId="0" fontId="62" fillId="30" borderId="30" xfId="0" applyFont="1" applyFill="1" applyBorder="1" applyAlignment="1">
      <alignment vertical="center"/>
    </xf>
    <xf numFmtId="0" fontId="73" fillId="30" borderId="28" xfId="224" applyFont="1" applyFill="1" applyBorder="1" applyAlignment="1">
      <alignment horizontal="center" vertical="center"/>
    </xf>
    <xf numFmtId="0" fontId="73" fillId="30" borderId="27" xfId="224" applyFont="1" applyFill="1" applyBorder="1" applyAlignment="1">
      <alignment horizontal="center" vertical="center"/>
    </xf>
    <xf numFmtId="0" fontId="11" fillId="30" borderId="0" xfId="267" applyFont="1" applyFill="1" applyAlignment="1">
      <alignment vertical="center"/>
    </xf>
    <xf numFmtId="0" fontId="73" fillId="30" borderId="80" xfId="0" applyFont="1" applyFill="1" applyBorder="1" applyAlignment="1">
      <alignment horizontal="center" vertical="center"/>
    </xf>
    <xf numFmtId="0" fontId="73" fillId="30" borderId="79" xfId="0" applyFont="1" applyFill="1" applyBorder="1" applyAlignment="1">
      <alignment horizontal="center" vertical="center"/>
    </xf>
    <xf numFmtId="0" fontId="73" fillId="30" borderId="78" xfId="0" applyFont="1" applyFill="1" applyBorder="1" applyAlignment="1">
      <alignment horizontal="center" vertical="center"/>
    </xf>
    <xf numFmtId="0" fontId="2" fillId="30" borderId="0" xfId="231" applyFill="1" applyAlignment="1">
      <alignment vertical="center"/>
    </xf>
    <xf numFmtId="0" fontId="11" fillId="30" borderId="0" xfId="259" applyFont="1" applyFill="1" applyAlignment="1">
      <alignment vertical="center"/>
    </xf>
    <xf numFmtId="4" fontId="37" fillId="30" borderId="0" xfId="259" applyNumberFormat="1" applyFont="1" applyFill="1" applyAlignment="1">
      <alignment horizontal="right" vertical="center"/>
    </xf>
    <xf numFmtId="0" fontId="2" fillId="30" borderId="0" xfId="259" applyFont="1" applyFill="1" applyAlignment="1">
      <alignment horizontal="right" vertical="center"/>
    </xf>
    <xf numFmtId="0" fontId="11" fillId="30" borderId="0" xfId="259" applyFont="1" applyFill="1" applyAlignment="1">
      <alignment horizontal="center" vertical="center"/>
    </xf>
    <xf numFmtId="2" fontId="11" fillId="30" borderId="0" xfId="267" applyNumberFormat="1" applyFont="1" applyFill="1" applyAlignment="1">
      <alignment vertical="center"/>
    </xf>
    <xf numFmtId="0" fontId="37" fillId="30" borderId="0" xfId="259" applyFont="1" applyFill="1" applyAlignment="1">
      <alignment horizontal="left" vertical="center"/>
    </xf>
    <xf numFmtId="0" fontId="11" fillId="30" borderId="0" xfId="224" applyFont="1" applyFill="1" applyAlignment="1">
      <alignment vertical="center"/>
    </xf>
    <xf numFmtId="0" fontId="37" fillId="30" borderId="0" xfId="224" applyFont="1" applyFill="1" applyAlignment="1">
      <alignment vertical="center"/>
    </xf>
    <xf numFmtId="0" fontId="35" fillId="30" borderId="0" xfId="224" applyFont="1" applyFill="1" applyAlignment="1">
      <alignment vertical="center"/>
    </xf>
    <xf numFmtId="0" fontId="0" fillId="30" borderId="0" xfId="0" applyFill="1" applyAlignment="1">
      <alignment horizontal="right" vertical="center"/>
    </xf>
    <xf numFmtId="178" fontId="0" fillId="32" borderId="191" xfId="0" applyNumberFormat="1" applyFill="1" applyBorder="1" applyAlignment="1">
      <alignment horizontal="right"/>
    </xf>
    <xf numFmtId="178" fontId="0" fillId="32" borderId="190" xfId="0" applyNumberFormat="1" applyFill="1" applyBorder="1" applyAlignment="1">
      <alignment horizontal="right"/>
    </xf>
    <xf numFmtId="178" fontId="0" fillId="30" borderId="0" xfId="0" applyNumberFormat="1" applyFill="1" applyAlignment="1">
      <alignment horizontal="right"/>
    </xf>
    <xf numFmtId="178" fontId="0" fillId="32" borderId="192" xfId="0" applyNumberFormat="1" applyFill="1" applyBorder="1" applyAlignment="1">
      <alignment horizontal="right"/>
    </xf>
    <xf numFmtId="178" fontId="0" fillId="32" borderId="193" xfId="0" applyNumberFormat="1" applyFill="1" applyBorder="1" applyAlignment="1">
      <alignment horizontal="right"/>
    </xf>
    <xf numFmtId="178" fontId="0" fillId="32" borderId="181" xfId="0" applyNumberFormat="1" applyFill="1" applyBorder="1" applyAlignment="1">
      <alignment horizontal="right"/>
    </xf>
    <xf numFmtId="2" fontId="0" fillId="32" borderId="193" xfId="0" applyNumberFormat="1" applyFill="1" applyBorder="1" applyAlignment="1">
      <alignment horizontal="right"/>
    </xf>
    <xf numFmtId="2" fontId="0" fillId="30" borderId="0" xfId="0" applyNumberFormat="1" applyFill="1" applyAlignment="1">
      <alignment horizontal="right"/>
    </xf>
    <xf numFmtId="2" fontId="0" fillId="32" borderId="192" xfId="0" applyNumberFormat="1" applyFill="1" applyBorder="1" applyAlignment="1">
      <alignment horizontal="right"/>
    </xf>
    <xf numFmtId="2" fontId="0" fillId="32" borderId="181" xfId="0" applyNumberFormat="1" applyFill="1" applyBorder="1" applyAlignment="1">
      <alignment horizontal="right"/>
    </xf>
    <xf numFmtId="2" fontId="0" fillId="32" borderId="191" xfId="0" applyNumberFormat="1" applyFill="1" applyBorder="1" applyAlignment="1">
      <alignment horizontal="right"/>
    </xf>
    <xf numFmtId="2" fontId="0" fillId="32" borderId="190" xfId="0" applyNumberFormat="1" applyFill="1" applyBorder="1" applyAlignment="1">
      <alignment horizontal="right"/>
    </xf>
    <xf numFmtId="178" fontId="0" fillId="32" borderId="187" xfId="0" applyNumberFormat="1" applyFill="1" applyBorder="1" applyAlignment="1">
      <alignment horizontal="right"/>
    </xf>
    <xf numFmtId="178" fontId="0" fillId="32" borderId="186" xfId="0" applyNumberFormat="1" applyFill="1" applyBorder="1" applyAlignment="1">
      <alignment horizontal="right"/>
    </xf>
    <xf numFmtId="0" fontId="73" fillId="30" borderId="137" xfId="0" quotePrefix="1" applyFont="1" applyFill="1" applyBorder="1" applyAlignment="1">
      <alignment vertical="center"/>
    </xf>
    <xf numFmtId="0" fontId="2" fillId="30" borderId="0" xfId="224" applyFill="1" applyProtection="1">
      <protection locked="0"/>
    </xf>
    <xf numFmtId="0" fontId="35" fillId="30" borderId="0" xfId="224" applyFont="1" applyFill="1" applyBorder="1" applyAlignment="1">
      <alignment vertical="center"/>
    </xf>
    <xf numFmtId="0" fontId="11" fillId="30" borderId="0" xfId="224" applyFont="1" applyFill="1" applyBorder="1" applyAlignment="1">
      <alignment vertical="center"/>
    </xf>
    <xf numFmtId="4" fontId="40" fillId="30" borderId="0" xfId="258" applyNumberFormat="1" applyFont="1" applyFill="1" applyBorder="1" applyAlignment="1">
      <alignment vertical="center"/>
    </xf>
    <xf numFmtId="0" fontId="40" fillId="30" borderId="0" xfId="258" applyFont="1" applyFill="1" applyBorder="1" applyAlignment="1">
      <alignment vertical="center"/>
    </xf>
    <xf numFmtId="4" fontId="37" fillId="30" borderId="0" xfId="259" applyNumberFormat="1" applyFont="1" applyFill="1" applyBorder="1" applyAlignment="1">
      <alignment horizontal="right" vertical="center"/>
    </xf>
    <xf numFmtId="0" fontId="11" fillId="30" borderId="0" xfId="259" applyFont="1" applyFill="1" applyBorder="1" applyAlignment="1">
      <alignment vertical="center"/>
    </xf>
    <xf numFmtId="0" fontId="11" fillId="30" borderId="0" xfId="267" applyFont="1" applyFill="1" applyBorder="1" applyAlignment="1">
      <alignment vertical="center"/>
    </xf>
    <xf numFmtId="0" fontId="62" fillId="30" borderId="0" xfId="0" applyFont="1" applyFill="1" applyBorder="1" applyAlignment="1">
      <alignment vertical="center"/>
    </xf>
    <xf numFmtId="0" fontId="2" fillId="30" borderId="0" xfId="231" applyFill="1" applyBorder="1" applyAlignment="1">
      <alignment horizontal="right" vertical="center"/>
    </xf>
    <xf numFmtId="0" fontId="2" fillId="30" borderId="0" xfId="224" applyFill="1" applyBorder="1" applyAlignment="1">
      <alignment vertical="center"/>
    </xf>
    <xf numFmtId="176" fontId="62" fillId="30" borderId="72" xfId="0" applyNumberFormat="1" applyFont="1" applyFill="1" applyBorder="1" applyAlignment="1">
      <alignment vertical="center"/>
    </xf>
    <xf numFmtId="176" fontId="62" fillId="30" borderId="48" xfId="0" applyNumberFormat="1" applyFont="1" applyFill="1" applyBorder="1" applyAlignment="1">
      <alignment vertical="center"/>
    </xf>
    <xf numFmtId="176" fontId="62" fillId="30" borderId="76" xfId="0" applyNumberFormat="1" applyFont="1" applyFill="1" applyBorder="1" applyAlignment="1">
      <alignment vertical="center"/>
    </xf>
    <xf numFmtId="176" fontId="62" fillId="30" borderId="31" xfId="0" applyNumberFormat="1" applyFont="1" applyFill="1" applyBorder="1" applyAlignment="1">
      <alignment vertical="center"/>
    </xf>
    <xf numFmtId="176" fontId="62" fillId="32" borderId="31" xfId="0" applyNumberFormat="1" applyFont="1" applyFill="1" applyBorder="1" applyAlignment="1">
      <alignment vertical="center"/>
    </xf>
    <xf numFmtId="176" fontId="62" fillId="32" borderId="72" xfId="0" applyNumberFormat="1" applyFont="1" applyFill="1" applyBorder="1" applyAlignment="1">
      <alignment vertical="center"/>
    </xf>
    <xf numFmtId="176" fontId="62" fillId="32" borderId="48" xfId="0" applyNumberFormat="1" applyFont="1" applyFill="1" applyBorder="1" applyAlignment="1">
      <alignment vertical="center"/>
    </xf>
    <xf numFmtId="176" fontId="62" fillId="32" borderId="76" xfId="0" applyNumberFormat="1" applyFont="1" applyFill="1" applyBorder="1" applyAlignment="1">
      <alignment vertical="center"/>
    </xf>
    <xf numFmtId="176" fontId="62" fillId="30" borderId="92" xfId="0" applyNumberFormat="1" applyFont="1" applyFill="1" applyBorder="1" applyAlignment="1">
      <alignment vertical="center"/>
    </xf>
    <xf numFmtId="176" fontId="62" fillId="30" borderId="54" xfId="0" applyNumberFormat="1" applyFont="1" applyFill="1" applyBorder="1" applyAlignment="1">
      <alignment vertical="center"/>
    </xf>
    <xf numFmtId="176" fontId="62" fillId="30" borderId="88" xfId="0" applyNumberFormat="1" applyFont="1" applyFill="1" applyBorder="1" applyAlignment="1">
      <alignment vertical="center"/>
    </xf>
    <xf numFmtId="176" fontId="62" fillId="30" borderId="182" xfId="0" applyNumberFormat="1" applyFont="1" applyFill="1" applyBorder="1" applyAlignment="1">
      <alignment vertical="center"/>
    </xf>
    <xf numFmtId="176" fontId="62" fillId="32" borderId="54" xfId="0" applyNumberFormat="1" applyFont="1" applyFill="1" applyBorder="1" applyAlignment="1">
      <alignment vertical="center"/>
    </xf>
    <xf numFmtId="176" fontId="62" fillId="32" borderId="88" xfId="0" applyNumberFormat="1" applyFont="1" applyFill="1" applyBorder="1" applyAlignment="1">
      <alignment vertical="center"/>
    </xf>
    <xf numFmtId="176" fontId="62" fillId="32" borderId="182" xfId="0" applyNumberFormat="1" applyFont="1" applyFill="1" applyBorder="1" applyAlignment="1">
      <alignment vertical="center"/>
    </xf>
    <xf numFmtId="176" fontId="62" fillId="30" borderId="78" xfId="0" applyNumberFormat="1" applyFont="1" applyFill="1" applyBorder="1" applyAlignment="1">
      <alignment vertical="center"/>
    </xf>
    <xf numFmtId="176" fontId="62" fillId="30" borderId="79" xfId="0" applyNumberFormat="1" applyFont="1" applyFill="1" applyBorder="1" applyAlignment="1">
      <alignment vertical="center"/>
    </xf>
    <xf numFmtId="176" fontId="62" fillId="30" borderId="80" xfId="0" applyNumberFormat="1" applyFont="1" applyFill="1" applyBorder="1" applyAlignment="1">
      <alignment vertical="center"/>
    </xf>
    <xf numFmtId="176" fontId="62" fillId="30" borderId="35" xfId="0" applyNumberFormat="1" applyFont="1" applyFill="1" applyBorder="1" applyAlignment="1">
      <alignment vertical="center"/>
    </xf>
    <xf numFmtId="176" fontId="62" fillId="30" borderId="30" xfId="0" applyNumberFormat="1" applyFont="1" applyFill="1" applyBorder="1" applyAlignment="1">
      <alignment vertical="center"/>
    </xf>
    <xf numFmtId="176" fontId="62" fillId="30" borderId="30" xfId="0" quotePrefix="1" applyNumberFormat="1" applyFont="1" applyFill="1" applyBorder="1" applyAlignment="1">
      <alignment vertical="center"/>
    </xf>
    <xf numFmtId="176" fontId="62" fillId="30" borderId="89" xfId="0" quotePrefix="1" applyNumberFormat="1" applyFont="1" applyFill="1" applyBorder="1" applyAlignment="1">
      <alignment vertical="center"/>
    </xf>
    <xf numFmtId="176" fontId="62" fillId="30" borderId="42" xfId="0" quotePrefix="1" applyNumberFormat="1" applyFont="1" applyFill="1" applyBorder="1" applyAlignment="1">
      <alignment vertical="center"/>
    </xf>
    <xf numFmtId="176" fontId="62" fillId="30" borderId="139" xfId="0" quotePrefix="1" applyNumberFormat="1" applyFont="1" applyFill="1" applyBorder="1" applyAlignment="1">
      <alignment vertical="center"/>
    </xf>
    <xf numFmtId="4" fontId="62" fillId="30" borderId="30" xfId="0" quotePrefix="1" applyNumberFormat="1" applyFont="1" applyFill="1" applyBorder="1" applyAlignment="1">
      <alignment vertical="center"/>
    </xf>
    <xf numFmtId="4" fontId="62" fillId="30" borderId="42" xfId="0" quotePrefix="1" applyNumberFormat="1" applyFont="1" applyFill="1" applyBorder="1" applyAlignment="1">
      <alignment vertical="center"/>
    </xf>
    <xf numFmtId="0" fontId="59" fillId="0" borderId="181" xfId="0" applyFont="1" applyBorder="1" applyAlignment="1" applyProtection="1">
      <alignment horizontal="center" vertical="center"/>
    </xf>
    <xf numFmtId="0" fontId="0" fillId="30" borderId="138" xfId="0" applyFill="1" applyBorder="1" applyAlignment="1">
      <alignment horizontal="left" vertical="center"/>
    </xf>
    <xf numFmtId="176" fontId="0" fillId="30" borderId="139" xfId="0" applyNumberFormat="1" applyFill="1" applyBorder="1" applyAlignment="1">
      <alignment horizontal="right" vertical="center"/>
    </xf>
    <xf numFmtId="176" fontId="0" fillId="30" borderId="138" xfId="0" applyNumberFormat="1" applyFill="1" applyBorder="1" applyAlignment="1">
      <alignment horizontal="right" vertical="center"/>
    </xf>
    <xf numFmtId="176" fontId="0" fillId="30" borderId="19" xfId="0" applyNumberFormat="1" applyFill="1" applyBorder="1"/>
    <xf numFmtId="0" fontId="62" fillId="30" borderId="145" xfId="0" applyFont="1" applyFill="1" applyBorder="1" applyAlignment="1">
      <alignment horizontal="center" vertical="center" wrapText="1"/>
    </xf>
    <xf numFmtId="177" fontId="0" fillId="30" borderId="89" xfId="0" applyNumberFormat="1" applyFill="1" applyBorder="1"/>
    <xf numFmtId="176" fontId="0" fillId="32" borderId="40" xfId="0" applyNumberFormat="1" applyFill="1" applyBorder="1"/>
    <xf numFmtId="176" fontId="0" fillId="32" borderId="71" xfId="0" applyNumberFormat="1" applyFill="1" applyBorder="1"/>
    <xf numFmtId="176" fontId="0" fillId="32" borderId="14" xfId="0" applyNumberFormat="1" applyFill="1" applyBorder="1"/>
    <xf numFmtId="0" fontId="0" fillId="32" borderId="40" xfId="0" applyNumberFormat="1" applyFill="1" applyBorder="1"/>
    <xf numFmtId="0" fontId="0" fillId="30" borderId="33" xfId="0" quotePrefix="1" applyFill="1" applyBorder="1"/>
    <xf numFmtId="0" fontId="0" fillId="30" borderId="30" xfId="0" applyNumberFormat="1" applyFill="1" applyBorder="1"/>
    <xf numFmtId="0" fontId="0" fillId="30" borderId="67" xfId="0" applyFill="1" applyBorder="1" applyAlignment="1">
      <alignment vertical="center"/>
    </xf>
    <xf numFmtId="0" fontId="0" fillId="30" borderId="57" xfId="0" applyFill="1" applyBorder="1" applyAlignment="1">
      <alignment horizontal="center" vertical="center"/>
    </xf>
    <xf numFmtId="0" fontId="0" fillId="30" borderId="137" xfId="0" applyFill="1" applyBorder="1" applyAlignment="1">
      <alignment horizontal="center" vertical="center"/>
    </xf>
    <xf numFmtId="0" fontId="0" fillId="30" borderId="25" xfId="0" applyFill="1" applyBorder="1" applyAlignment="1">
      <alignment vertical="center"/>
    </xf>
    <xf numFmtId="0" fontId="0" fillId="30" borderId="136" xfId="0" applyFill="1" applyBorder="1" applyAlignment="1">
      <alignment vertical="center"/>
    </xf>
    <xf numFmtId="176" fontId="0" fillId="30" borderId="0" xfId="0" applyNumberFormat="1" applyFill="1" applyAlignment="1">
      <alignment horizontal="center" vertical="center"/>
    </xf>
    <xf numFmtId="177" fontId="0" fillId="30" borderId="19" xfId="0" applyNumberFormat="1" applyFill="1" applyBorder="1"/>
    <xf numFmtId="10" fontId="56" fillId="30" borderId="76" xfId="158" applyNumberFormat="1" applyFont="1" applyFill="1" applyBorder="1" applyAlignment="1">
      <alignment horizontal="right" vertical="center"/>
    </xf>
    <xf numFmtId="10" fontId="0" fillId="30" borderId="74" xfId="158" applyNumberFormat="1" applyFont="1" applyFill="1" applyBorder="1" applyAlignment="1">
      <alignment horizontal="right" vertical="center"/>
    </xf>
    <xf numFmtId="10" fontId="0" fillId="30" borderId="91" xfId="158" applyNumberFormat="1" applyFont="1" applyFill="1" applyBorder="1" applyAlignment="1">
      <alignment horizontal="right" vertical="center"/>
    </xf>
    <xf numFmtId="0" fontId="0" fillId="30" borderId="0" xfId="0" applyFill="1" applyAlignment="1">
      <alignment horizontal="left" vertical="top" wrapText="1"/>
    </xf>
    <xf numFmtId="0" fontId="0" fillId="30" borderId="0" xfId="0" applyFill="1" applyAlignment="1">
      <alignment horizontal="left" vertical="center"/>
    </xf>
    <xf numFmtId="0" fontId="65" fillId="30" borderId="0" xfId="0" applyFont="1" applyFill="1" applyAlignment="1">
      <alignment horizontal="left" vertical="center"/>
    </xf>
    <xf numFmtId="0" fontId="0" fillId="30" borderId="0" xfId="0" applyFill="1" applyAlignment="1">
      <alignment horizontal="left" vertical="center" wrapText="1"/>
    </xf>
    <xf numFmtId="0" fontId="0" fillId="30" borderId="38" xfId="0" applyFill="1" applyBorder="1" applyAlignment="1">
      <alignment horizontal="center" vertical="center"/>
    </xf>
    <xf numFmtId="176" fontId="0" fillId="30" borderId="16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0" borderId="17" xfId="0" applyFill="1" applyBorder="1" applyAlignment="1">
      <alignment horizontal="center" vertical="center" wrapText="1"/>
    </xf>
    <xf numFmtId="0" fontId="0" fillId="30" borderId="101" xfId="0" applyFill="1" applyBorder="1" applyAlignment="1">
      <alignment horizontal="center" vertical="center" wrapText="1"/>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10" fontId="0" fillId="30" borderId="60" xfId="0" quotePrefix="1" applyNumberFormat="1" applyFill="1" applyBorder="1" applyAlignment="1">
      <alignment horizontal="center" vertical="center"/>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176" fontId="0" fillId="30" borderId="91" xfId="0" applyNumberFormat="1" applyFill="1" applyBorder="1" applyAlignment="1">
      <alignment horizontal="right" vertical="center"/>
    </xf>
    <xf numFmtId="0" fontId="3" fillId="30" borderId="0" xfId="1" applyFont="1" applyFill="1" applyBorder="1" applyAlignment="1" applyProtection="1">
      <alignment horizontal="left" vertical="center"/>
    </xf>
    <xf numFmtId="0" fontId="0" fillId="30" borderId="66" xfId="0" applyFill="1" applyBorder="1" applyAlignment="1" applyProtection="1">
      <alignment vertical="center"/>
    </xf>
    <xf numFmtId="0" fontId="0" fillId="30" borderId="24" xfId="0" applyFill="1" applyBorder="1" applyAlignment="1" applyProtection="1">
      <alignment horizontal="left" vertical="center"/>
    </xf>
    <xf numFmtId="0" fontId="0" fillId="30" borderId="93" xfId="0" applyFill="1" applyBorder="1" applyAlignment="1" applyProtection="1">
      <alignment vertical="center"/>
    </xf>
    <xf numFmtId="0" fontId="60" fillId="30" borderId="0" xfId="0" applyFont="1" applyFill="1" applyAlignment="1" applyProtection="1">
      <alignment vertical="center"/>
    </xf>
    <xf numFmtId="0" fontId="0" fillId="30" borderId="0" xfId="0" quotePrefix="1" applyFill="1" applyAlignment="1" applyProtection="1">
      <alignment vertical="center"/>
    </xf>
    <xf numFmtId="9" fontId="0" fillId="30" borderId="19" xfId="0" applyNumberFormat="1" applyFill="1" applyBorder="1" applyAlignment="1" applyProtection="1">
      <alignment horizontal="center" vertical="center"/>
    </xf>
    <xf numFmtId="2" fontId="0" fillId="0" borderId="19" xfId="0" applyNumberFormat="1" applyFill="1" applyBorder="1" applyAlignment="1" applyProtection="1">
      <alignment horizontal="center" vertical="center"/>
    </xf>
    <xf numFmtId="0" fontId="0" fillId="30" borderId="19" xfId="0" applyFill="1" applyBorder="1" applyAlignment="1" applyProtection="1">
      <alignment horizontal="center" vertical="center"/>
    </xf>
    <xf numFmtId="0" fontId="60" fillId="30" borderId="0" xfId="0" quotePrefix="1" applyFont="1" applyFill="1" applyAlignment="1" applyProtection="1">
      <alignment vertical="center"/>
    </xf>
    <xf numFmtId="9" fontId="0" fillId="30" borderId="0" xfId="0" applyNumberFormat="1" applyFill="1" applyAlignment="1" applyProtection="1">
      <alignment horizontal="center" vertical="center"/>
    </xf>
    <xf numFmtId="0" fontId="0" fillId="30" borderId="0" xfId="0" quotePrefix="1" applyFont="1" applyFill="1" applyAlignment="1" applyProtection="1">
      <alignment vertical="center"/>
    </xf>
    <xf numFmtId="0" fontId="70" fillId="30" borderId="0" xfId="0" applyFont="1" applyFill="1" applyAlignment="1" applyProtection="1">
      <alignment vertical="center"/>
    </xf>
    <xf numFmtId="9" fontId="0" fillId="30" borderId="0" xfId="0" applyNumberFormat="1" applyFill="1" applyBorder="1" applyAlignment="1" applyProtection="1">
      <alignment horizontal="center" vertical="center"/>
    </xf>
    <xf numFmtId="0" fontId="60" fillId="30" borderId="0" xfId="0" quotePrefix="1" applyFont="1" applyFill="1" applyBorder="1" applyAlignment="1" applyProtection="1">
      <alignment vertical="center"/>
    </xf>
    <xf numFmtId="0" fontId="0" fillId="30" borderId="0" xfId="0" quotePrefix="1" applyFont="1" applyFill="1" applyBorder="1" applyAlignment="1" applyProtection="1">
      <alignment vertical="center"/>
    </xf>
    <xf numFmtId="180" fontId="0" fillId="30" borderId="19" xfId="0" applyNumberFormat="1" applyFill="1" applyBorder="1" applyAlignment="1" applyProtection="1">
      <alignment horizontal="center" vertical="center"/>
    </xf>
    <xf numFmtId="176" fontId="0" fillId="33" borderId="144" xfId="0" applyNumberFormat="1" applyFill="1" applyBorder="1" applyAlignment="1" applyProtection="1">
      <alignment horizontal="center" vertical="center"/>
      <protection locked="0"/>
    </xf>
    <xf numFmtId="4" fontId="0" fillId="33" borderId="144" xfId="0" applyNumberFormat="1" applyFill="1" applyBorder="1" applyAlignment="1" applyProtection="1">
      <alignment horizontal="center" vertical="center"/>
      <protection locked="0"/>
    </xf>
    <xf numFmtId="177" fontId="0" fillId="33" borderId="144" xfId="0" applyNumberFormat="1" applyFill="1" applyBorder="1" applyAlignment="1" applyProtection="1">
      <alignment horizontal="center" vertical="center"/>
      <protection locked="0"/>
    </xf>
    <xf numFmtId="0" fontId="0" fillId="33" borderId="88" xfId="0" applyFill="1" applyBorder="1" applyAlignment="1" applyProtection="1">
      <alignment horizontal="center" vertical="center"/>
      <protection locked="0"/>
    </xf>
    <xf numFmtId="0" fontId="0" fillId="33" borderId="153" xfId="0" applyFill="1" applyBorder="1" applyAlignment="1" applyProtection="1">
      <alignment horizontal="left" vertical="center"/>
      <protection locked="0"/>
    </xf>
    <xf numFmtId="0" fontId="0" fillId="33" borderId="88" xfId="0" applyFill="1" applyBorder="1" applyAlignment="1" applyProtection="1">
      <alignment horizontal="left" vertical="center"/>
      <protection locked="0"/>
    </xf>
    <xf numFmtId="0" fontId="0" fillId="33" borderId="92" xfId="0" applyFill="1" applyBorder="1" applyAlignment="1" applyProtection="1">
      <alignment horizontal="center" vertical="center"/>
      <protection locked="0"/>
    </xf>
    <xf numFmtId="4" fontId="0" fillId="33" borderId="92" xfId="0" applyNumberFormat="1" applyFill="1" applyBorder="1" applyAlignment="1" applyProtection="1">
      <alignment horizontal="right" vertical="center"/>
      <protection locked="0"/>
    </xf>
    <xf numFmtId="4" fontId="0" fillId="33" borderId="88" xfId="0" applyNumberFormat="1" applyFill="1" applyBorder="1" applyAlignment="1" applyProtection="1">
      <alignment horizontal="right" vertical="center"/>
      <protection locked="0"/>
    </xf>
    <xf numFmtId="0" fontId="0" fillId="33" borderId="34" xfId="0" applyFill="1" applyBorder="1" applyAlignment="1" applyProtection="1">
      <alignment horizontal="left" vertical="center"/>
      <protection locked="0"/>
    </xf>
    <xf numFmtId="0" fontId="0" fillId="33" borderId="80" xfId="0" applyFill="1" applyBorder="1" applyAlignment="1" applyProtection="1">
      <alignment horizontal="left" vertical="center"/>
      <protection locked="0"/>
    </xf>
    <xf numFmtId="0" fontId="0" fillId="33" borderId="78" xfId="0"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4" fontId="0" fillId="33" borderId="78"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right" vertical="center"/>
      <protection locked="0"/>
    </xf>
    <xf numFmtId="4" fontId="0" fillId="33" borderId="82" xfId="0" applyNumberFormat="1" applyFill="1" applyBorder="1" applyAlignment="1" applyProtection="1">
      <alignment horizontal="right" vertical="center"/>
      <protection locked="0"/>
    </xf>
    <xf numFmtId="4" fontId="0" fillId="33" borderId="83" xfId="0" applyNumberFormat="1" applyFill="1" applyBorder="1" applyAlignment="1" applyProtection="1">
      <alignment horizontal="right" vertical="center"/>
      <protection locked="0"/>
    </xf>
    <xf numFmtId="4" fontId="0" fillId="33" borderId="52" xfId="0" applyNumberFormat="1" applyFill="1" applyBorder="1" applyAlignment="1" applyProtection="1">
      <alignment horizontal="right" vertical="center"/>
      <protection locked="0"/>
    </xf>
    <xf numFmtId="4" fontId="0" fillId="33" borderId="72" xfId="0" applyNumberFormat="1" applyFill="1" applyBorder="1" applyAlignment="1" applyProtection="1">
      <alignment horizontal="right" vertical="center"/>
      <protection locked="0"/>
    </xf>
    <xf numFmtId="4" fontId="0" fillId="33" borderId="48"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right" vertical="center"/>
      <protection locked="0"/>
    </xf>
    <xf numFmtId="0" fontId="0" fillId="33" borderId="76" xfId="0" applyFill="1" applyBorder="1" applyAlignment="1" applyProtection="1">
      <alignment horizontal="center" vertical="center"/>
      <protection locked="0"/>
    </xf>
    <xf numFmtId="0" fontId="0" fillId="33" borderId="39" xfId="0" applyFill="1" applyBorder="1" applyAlignment="1" applyProtection="1">
      <alignment horizontal="left" vertical="center"/>
      <protection locked="0"/>
    </xf>
    <xf numFmtId="0" fontId="0" fillId="33" borderId="72" xfId="0" applyFill="1" applyBorder="1" applyAlignment="1" applyProtection="1">
      <alignment horizontal="left" vertical="center"/>
      <protection locked="0"/>
    </xf>
    <xf numFmtId="0" fontId="0" fillId="33" borderId="48" xfId="0" applyFill="1" applyBorder="1" applyAlignment="1" applyProtection="1">
      <alignment horizontal="left" vertical="center"/>
      <protection locked="0"/>
    </xf>
    <xf numFmtId="0" fontId="0" fillId="33" borderId="76" xfId="0" applyFill="1" applyBorder="1" applyAlignment="1" applyProtection="1">
      <alignment horizontal="left" vertical="center"/>
      <protection locked="0"/>
    </xf>
    <xf numFmtId="0" fontId="0" fillId="33" borderId="78" xfId="0" applyFill="1" applyBorder="1" applyAlignment="1" applyProtection="1">
      <alignment horizontal="left" vertical="center"/>
      <protection locked="0"/>
    </xf>
    <xf numFmtId="0" fontId="0" fillId="33" borderId="79" xfId="0" applyFill="1" applyBorder="1" applyAlignment="1" applyProtection="1">
      <alignment horizontal="left" vertical="center"/>
      <protection locked="0"/>
    </xf>
    <xf numFmtId="4" fontId="0" fillId="33" borderId="79"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center" vertical="center"/>
      <protection locked="0"/>
    </xf>
    <xf numFmtId="4" fontId="0" fillId="33" borderId="72" xfId="0" applyNumberFormat="1" applyFill="1" applyBorder="1" applyAlignment="1" applyProtection="1">
      <alignment horizontal="center" vertical="center"/>
      <protection locked="0"/>
    </xf>
    <xf numFmtId="4" fontId="0" fillId="33" borderId="55"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center" vertical="center"/>
      <protection locked="0"/>
    </xf>
    <xf numFmtId="4" fontId="0" fillId="33" borderId="78" xfId="0" applyNumberFormat="1" applyFill="1" applyBorder="1" applyAlignment="1" applyProtection="1">
      <alignment horizontal="center" vertical="center"/>
      <protection locked="0"/>
    </xf>
    <xf numFmtId="4" fontId="0" fillId="33" borderId="69" xfId="0" applyNumberFormat="1" applyFill="1" applyBorder="1" applyAlignment="1" applyProtection="1">
      <alignment horizontal="right" vertical="center"/>
      <protection locked="0"/>
    </xf>
    <xf numFmtId="10" fontId="0" fillId="33" borderId="92" xfId="0" applyNumberFormat="1" applyFill="1" applyBorder="1" applyAlignment="1" applyProtection="1">
      <alignment horizontal="right" vertical="center"/>
      <protection locked="0"/>
    </xf>
    <xf numFmtId="10" fontId="0" fillId="33" borderId="105" xfId="0" applyNumberFormat="1" applyFill="1" applyBorder="1" applyAlignment="1" applyProtection="1">
      <alignment horizontal="right" vertical="center"/>
      <protection locked="0"/>
    </xf>
    <xf numFmtId="10" fontId="0" fillId="33" borderId="78" xfId="0" applyNumberFormat="1" applyFill="1" applyBorder="1" applyAlignment="1" applyProtection="1">
      <alignment horizontal="right" vertical="center"/>
      <protection locked="0"/>
    </xf>
    <xf numFmtId="10" fontId="0" fillId="33" borderId="69" xfId="0" applyNumberFormat="1" applyFill="1" applyBorder="1" applyAlignment="1" applyProtection="1">
      <alignment horizontal="right" vertical="center"/>
      <protection locked="0"/>
    </xf>
    <xf numFmtId="10" fontId="0" fillId="33" borderId="72" xfId="0" applyNumberFormat="1" applyFill="1" applyBorder="1" applyAlignment="1" applyProtection="1">
      <alignment horizontal="right" vertical="center"/>
      <protection locked="0"/>
    </xf>
    <xf numFmtId="10" fontId="0" fillId="33" borderId="48" xfId="0" applyNumberFormat="1" applyFill="1" applyBorder="1" applyAlignment="1" applyProtection="1">
      <alignment horizontal="right" vertical="center"/>
      <protection locked="0"/>
    </xf>
    <xf numFmtId="10" fontId="0" fillId="33" borderId="55" xfId="0" applyNumberFormat="1" applyFill="1" applyBorder="1" applyAlignment="1" applyProtection="1">
      <alignment horizontal="right" vertical="center"/>
      <protection locked="0"/>
    </xf>
    <xf numFmtId="10" fontId="0" fillId="33" borderId="79" xfId="0" applyNumberFormat="1" applyFill="1" applyBorder="1" applyAlignment="1" applyProtection="1">
      <alignment horizontal="right" vertical="center"/>
      <protection locked="0"/>
    </xf>
    <xf numFmtId="0" fontId="0" fillId="30" borderId="0" xfId="0" applyFill="1" applyProtection="1"/>
    <xf numFmtId="0" fontId="70" fillId="30" borderId="0" xfId="0" applyFont="1" applyFill="1" applyProtection="1"/>
    <xf numFmtId="0" fontId="0" fillId="30" borderId="22" xfId="0" applyFill="1" applyBorder="1" applyAlignment="1" applyProtection="1">
      <alignment horizontal="center" vertical="center"/>
    </xf>
    <xf numFmtId="0" fontId="0" fillId="30" borderId="90" xfId="0" applyFill="1" applyBorder="1" applyAlignment="1" applyProtection="1">
      <alignment horizontal="center" vertical="center" wrapText="1"/>
    </xf>
    <xf numFmtId="0" fontId="0" fillId="30" borderId="145"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0" fontId="0" fillId="30" borderId="91" xfId="0" applyFill="1" applyBorder="1" applyAlignment="1" applyProtection="1">
      <alignment horizontal="center" vertical="center" wrapText="1"/>
    </xf>
    <xf numFmtId="0" fontId="0" fillId="30" borderId="139" xfId="0" applyFill="1" applyBorder="1" applyAlignment="1" applyProtection="1">
      <alignment horizontal="center" vertical="center" wrapText="1"/>
    </xf>
    <xf numFmtId="0" fontId="0" fillId="30" borderId="22" xfId="0" applyFill="1" applyBorder="1" applyAlignment="1" applyProtection="1">
      <alignment horizontal="center" vertical="center" wrapText="1"/>
    </xf>
    <xf numFmtId="0" fontId="0" fillId="30" borderId="38" xfId="0" applyFill="1" applyBorder="1" applyAlignment="1" applyProtection="1">
      <alignment vertical="center"/>
    </xf>
    <xf numFmtId="0" fontId="86" fillId="30" borderId="38" xfId="0" applyFont="1" applyFill="1" applyBorder="1" applyAlignment="1" applyProtection="1">
      <alignment vertical="center"/>
    </xf>
    <xf numFmtId="4" fontId="0" fillId="30" borderId="84" xfId="0" applyNumberFormat="1" applyFill="1" applyBorder="1" applyAlignment="1" applyProtection="1">
      <alignment vertical="center"/>
    </xf>
    <xf numFmtId="4" fontId="0" fillId="30" borderId="104" xfId="0" applyNumberFormat="1" applyFill="1" applyBorder="1" applyAlignment="1" applyProtection="1">
      <alignment vertical="center"/>
    </xf>
    <xf numFmtId="4" fontId="0" fillId="30" borderId="82" xfId="0" applyNumberFormat="1" applyFill="1" applyBorder="1" applyAlignment="1" applyProtection="1">
      <alignment vertical="center"/>
    </xf>
    <xf numFmtId="4" fontId="0" fillId="30" borderId="82" xfId="0" applyNumberFormat="1" applyFill="1" applyBorder="1" applyAlignment="1" applyProtection="1">
      <alignment vertical="center" wrapText="1"/>
    </xf>
    <xf numFmtId="0" fontId="0" fillId="30" borderId="0" xfId="0" applyFill="1" applyAlignment="1" applyProtection="1"/>
    <xf numFmtId="0" fontId="0" fillId="30" borderId="14" xfId="0" applyFill="1" applyBorder="1" applyAlignment="1" applyProtection="1">
      <alignment vertical="center"/>
    </xf>
    <xf numFmtId="0" fontId="86" fillId="30" borderId="14" xfId="0" applyFont="1" applyFill="1" applyBorder="1" applyAlignment="1" applyProtection="1">
      <alignment vertical="center"/>
    </xf>
    <xf numFmtId="4" fontId="0" fillId="30" borderId="30" xfId="0" applyNumberFormat="1" applyFill="1" applyBorder="1" applyAlignment="1" applyProtection="1">
      <alignment vertical="center"/>
    </xf>
    <xf numFmtId="4" fontId="0" fillId="30" borderId="63" xfId="0" applyNumberFormat="1" applyFill="1" applyBorder="1" applyAlignment="1" applyProtection="1">
      <alignment vertical="center"/>
    </xf>
    <xf numFmtId="4" fontId="0" fillId="30" borderId="72" xfId="0" applyNumberFormat="1" applyFill="1" applyBorder="1" applyAlignment="1" applyProtection="1">
      <alignment vertical="center"/>
    </xf>
    <xf numFmtId="4" fontId="0" fillId="30" borderId="72" xfId="0" applyNumberFormat="1" applyFill="1" applyBorder="1" applyAlignment="1" applyProtection="1">
      <alignment vertical="center" wrapText="1"/>
    </xf>
    <xf numFmtId="0" fontId="0" fillId="30" borderId="14" xfId="0" applyFont="1" applyFill="1" applyBorder="1" applyAlignment="1" applyProtection="1"/>
    <xf numFmtId="0" fontId="86" fillId="30" borderId="14" xfId="0" applyFont="1" applyFill="1" applyBorder="1" applyAlignment="1" applyProtection="1"/>
    <xf numFmtId="4" fontId="0" fillId="32" borderId="72" xfId="0" applyNumberFormat="1" applyFill="1" applyBorder="1" applyAlignment="1" applyProtection="1">
      <alignment vertical="center"/>
    </xf>
    <xf numFmtId="4" fontId="0" fillId="32" borderId="72" xfId="0" applyNumberFormat="1" applyFill="1" applyBorder="1" applyAlignment="1" applyProtection="1">
      <alignment vertical="center" wrapText="1"/>
    </xf>
    <xf numFmtId="0" fontId="0" fillId="30" borderId="14" xfId="0" applyFill="1" applyBorder="1" applyProtection="1"/>
    <xf numFmtId="0" fontId="86" fillId="30" borderId="14" xfId="0" applyFont="1" applyFill="1" applyBorder="1" applyProtection="1"/>
    <xf numFmtId="4" fontId="0" fillId="30" borderId="30" xfId="0" applyNumberFormat="1" applyFill="1" applyBorder="1" applyProtection="1"/>
    <xf numFmtId="4" fontId="0" fillId="30" borderId="63" xfId="0" applyNumberFormat="1" applyFill="1" applyBorder="1" applyProtection="1"/>
    <xf numFmtId="4" fontId="0" fillId="30" borderId="72" xfId="0" applyNumberFormat="1" applyFill="1" applyBorder="1" applyProtection="1"/>
    <xf numFmtId="4" fontId="0" fillId="32" borderId="72" xfId="0" applyNumberFormat="1" applyFill="1" applyBorder="1" applyProtection="1"/>
    <xf numFmtId="0" fontId="0" fillId="30" borderId="33" xfId="0" applyFill="1" applyBorder="1" applyProtection="1"/>
    <xf numFmtId="0" fontId="86" fillId="30" borderId="33" xfId="0" applyFont="1" applyFill="1" applyBorder="1" applyProtection="1"/>
    <xf numFmtId="4" fontId="0" fillId="30" borderId="89" xfId="0" applyNumberFormat="1" applyFill="1" applyBorder="1" applyProtection="1"/>
    <xf numFmtId="4" fontId="0" fillId="30" borderId="146" xfId="0" applyNumberFormat="1" applyFill="1" applyBorder="1" applyProtection="1"/>
    <xf numFmtId="4" fontId="0" fillId="32" borderId="92" xfId="0" applyNumberFormat="1" applyFill="1" applyBorder="1" applyProtection="1"/>
    <xf numFmtId="4" fontId="0" fillId="30" borderId="92" xfId="0" applyNumberFormat="1" applyFill="1" applyBorder="1" applyProtection="1"/>
    <xf numFmtId="4" fontId="0" fillId="30" borderId="0" xfId="0" applyNumberFormat="1" applyFill="1" applyProtection="1"/>
    <xf numFmtId="0" fontId="65" fillId="30" borderId="109" xfId="0" applyFont="1" applyFill="1" applyBorder="1" applyProtection="1"/>
    <xf numFmtId="0" fontId="65" fillId="30" borderId="119" xfId="0" applyFont="1" applyFill="1" applyBorder="1" applyProtection="1"/>
    <xf numFmtId="4" fontId="65" fillId="30" borderId="110" xfId="0" applyNumberFormat="1" applyFont="1" applyFill="1" applyBorder="1" applyProtection="1"/>
    <xf numFmtId="4" fontId="65" fillId="30" borderId="111" xfId="0" applyNumberFormat="1" applyFont="1" applyFill="1" applyBorder="1" applyProtection="1"/>
    <xf numFmtId="4" fontId="65" fillId="30" borderId="112" xfId="0" applyNumberFormat="1" applyFont="1" applyFill="1" applyBorder="1" applyProtection="1"/>
    <xf numFmtId="4" fontId="65" fillId="32" borderId="154" xfId="0" applyNumberFormat="1" applyFont="1" applyFill="1" applyBorder="1" applyProtection="1"/>
    <xf numFmtId="4" fontId="65" fillId="32" borderId="111" xfId="0" applyNumberFormat="1" applyFont="1" applyFill="1" applyBorder="1" applyProtection="1"/>
    <xf numFmtId="4" fontId="65" fillId="32" borderId="112" xfId="0" applyNumberFormat="1" applyFont="1" applyFill="1" applyBorder="1" applyProtection="1"/>
    <xf numFmtId="4" fontId="65" fillId="32" borderId="110" xfId="0" applyNumberFormat="1" applyFont="1" applyFill="1" applyBorder="1" applyProtection="1"/>
    <xf numFmtId="4" fontId="65" fillId="32" borderId="113" xfId="0" applyNumberFormat="1" applyFont="1" applyFill="1" applyBorder="1" applyProtection="1"/>
    <xf numFmtId="0" fontId="65" fillId="30" borderId="203" xfId="0" applyFont="1" applyFill="1" applyBorder="1" applyProtection="1"/>
    <xf numFmtId="0" fontId="65" fillId="30" borderId="0" xfId="0" applyFont="1" applyFill="1" applyBorder="1" applyProtection="1"/>
    <xf numFmtId="4" fontId="65" fillId="30" borderId="204" xfId="0" applyNumberFormat="1" applyFont="1" applyFill="1" applyBorder="1" applyProtection="1"/>
    <xf numFmtId="4" fontId="65" fillId="30" borderId="56" xfId="0" applyNumberFormat="1" applyFont="1" applyFill="1" applyBorder="1" applyProtection="1"/>
    <xf numFmtId="4" fontId="65" fillId="30" borderId="205" xfId="0" applyNumberFormat="1" applyFont="1" applyFill="1" applyBorder="1" applyProtection="1"/>
    <xf numFmtId="4" fontId="65" fillId="30" borderId="46" xfId="0" applyNumberFormat="1" applyFont="1" applyFill="1" applyBorder="1" applyProtection="1"/>
    <xf numFmtId="4" fontId="65" fillId="32" borderId="204" xfId="0" applyNumberFormat="1" applyFont="1" applyFill="1" applyBorder="1" applyProtection="1"/>
    <xf numFmtId="4" fontId="65" fillId="32" borderId="206" xfId="0" applyNumberFormat="1" applyFont="1" applyFill="1" applyBorder="1" applyProtection="1"/>
    <xf numFmtId="0" fontId="65" fillId="30" borderId="114" xfId="0" applyFont="1" applyFill="1" applyBorder="1" applyProtection="1"/>
    <xf numFmtId="0" fontId="65" fillId="30" borderId="125" xfId="0" applyFont="1" applyFill="1" applyBorder="1" applyProtection="1"/>
    <xf numFmtId="4" fontId="65" fillId="30" borderId="115" xfId="0" applyNumberFormat="1" applyFont="1" applyFill="1" applyBorder="1" applyProtection="1"/>
    <xf numFmtId="4" fontId="65" fillId="30" borderId="116" xfId="0" applyNumberFormat="1" applyFont="1" applyFill="1" applyBorder="1" applyProtection="1"/>
    <xf numFmtId="4" fontId="65" fillId="30" borderId="117" xfId="0" applyNumberFormat="1" applyFont="1" applyFill="1" applyBorder="1" applyProtection="1"/>
    <xf numFmtId="4" fontId="65" fillId="30" borderId="155" xfId="0" applyNumberFormat="1" applyFont="1" applyFill="1" applyBorder="1" applyProtection="1"/>
    <xf numFmtId="4" fontId="65" fillId="32" borderId="115" xfId="0" applyNumberFormat="1" applyFont="1" applyFill="1" applyBorder="1" applyProtection="1"/>
    <xf numFmtId="4" fontId="65" fillId="32" borderId="118" xfId="0" applyNumberFormat="1" applyFont="1" applyFill="1" applyBorder="1" applyProtection="1"/>
    <xf numFmtId="4" fontId="0" fillId="33" borderId="52" xfId="0" applyNumberFormat="1" applyFill="1" applyBorder="1" applyAlignment="1" applyProtection="1">
      <alignment vertical="center" wrapText="1"/>
      <protection locked="0"/>
    </xf>
    <xf numFmtId="4" fontId="0" fillId="33" borderId="83" xfId="0" applyNumberFormat="1" applyFill="1" applyBorder="1" applyAlignment="1" applyProtection="1">
      <alignment vertical="center" wrapText="1"/>
      <protection locked="0"/>
    </xf>
    <xf numFmtId="4" fontId="0" fillId="33" borderId="48" xfId="0" applyNumberFormat="1" applyFill="1" applyBorder="1" applyAlignment="1" applyProtection="1">
      <alignment vertical="center" wrapText="1"/>
      <protection locked="0"/>
    </xf>
    <xf numFmtId="4" fontId="0" fillId="33" borderId="76" xfId="0" applyNumberFormat="1" applyFill="1" applyBorder="1" applyAlignment="1" applyProtection="1">
      <alignment vertical="center" wrapText="1"/>
      <protection locked="0"/>
    </xf>
    <xf numFmtId="4" fontId="0" fillId="34" borderId="48" xfId="0" applyNumberFormat="1" applyFill="1" applyBorder="1" applyAlignment="1" applyProtection="1">
      <alignment vertical="center" wrapText="1"/>
      <protection locked="0"/>
    </xf>
    <xf numFmtId="4" fontId="0" fillId="34" borderId="76" xfId="0" applyNumberFormat="1" applyFill="1" applyBorder="1" applyAlignment="1" applyProtection="1">
      <alignment vertical="center" wrapText="1"/>
      <protection locked="0"/>
    </xf>
    <xf numFmtId="4" fontId="0" fillId="33" borderId="48" xfId="0" applyNumberFormat="1" applyFill="1" applyBorder="1" applyProtection="1">
      <protection locked="0"/>
    </xf>
    <xf numFmtId="4" fontId="0" fillId="33" borderId="76" xfId="0" applyNumberFormat="1" applyFill="1" applyBorder="1" applyProtection="1">
      <protection locked="0"/>
    </xf>
    <xf numFmtId="4" fontId="0" fillId="34" borderId="48" xfId="0" applyNumberFormat="1" applyFill="1" applyBorder="1" applyProtection="1">
      <protection locked="0"/>
    </xf>
    <xf numFmtId="4" fontId="0" fillId="34" borderId="76" xfId="0" applyNumberFormat="1" applyFill="1" applyBorder="1" applyProtection="1">
      <protection locked="0"/>
    </xf>
    <xf numFmtId="4" fontId="0" fillId="34" borderId="54" xfId="0" applyNumberFormat="1" applyFill="1" applyBorder="1" applyProtection="1">
      <protection locked="0"/>
    </xf>
    <xf numFmtId="4" fontId="0" fillId="34" borderId="88" xfId="0" applyNumberFormat="1" applyFill="1" applyBorder="1" applyProtection="1">
      <protection locked="0"/>
    </xf>
    <xf numFmtId="4" fontId="0" fillId="34" borderId="84" xfId="0" applyNumberFormat="1" applyFill="1" applyBorder="1" applyAlignment="1" applyProtection="1">
      <alignment vertical="center" wrapText="1"/>
      <protection locked="0"/>
    </xf>
    <xf numFmtId="4" fontId="0" fillId="34" borderId="38" xfId="0" applyNumberFormat="1" applyFill="1" applyBorder="1" applyAlignment="1" applyProtection="1">
      <alignment vertical="center" wrapText="1"/>
      <protection locked="0"/>
    </xf>
    <xf numFmtId="4" fontId="0" fillId="34" borderId="30" xfId="0" applyNumberFormat="1" applyFill="1" applyBorder="1" applyAlignment="1" applyProtection="1">
      <alignment vertical="center" wrapText="1"/>
      <protection locked="0"/>
    </xf>
    <xf numFmtId="4" fontId="0" fillId="34" borderId="14" xfId="0" applyNumberFormat="1" applyFill="1" applyBorder="1" applyAlignment="1" applyProtection="1">
      <alignment vertical="center" wrapText="1"/>
      <protection locked="0"/>
    </xf>
    <xf numFmtId="4" fontId="0" fillId="33" borderId="30" xfId="0" applyNumberFormat="1" applyFill="1" applyBorder="1" applyAlignment="1" applyProtection="1">
      <alignment vertical="center" wrapText="1"/>
      <protection locked="0"/>
    </xf>
    <xf numFmtId="4" fontId="0" fillId="33" borderId="14" xfId="0" applyNumberFormat="1" applyFill="1" applyBorder="1" applyAlignment="1" applyProtection="1">
      <alignment vertical="center" wrapText="1"/>
      <protection locked="0"/>
    </xf>
    <xf numFmtId="4" fontId="0" fillId="34" borderId="30" xfId="0" applyNumberFormat="1" applyFill="1" applyBorder="1" applyProtection="1">
      <protection locked="0"/>
    </xf>
    <xf numFmtId="4" fontId="0" fillId="34" borderId="14" xfId="0" applyNumberFormat="1" applyFill="1" applyBorder="1" applyProtection="1">
      <protection locked="0"/>
    </xf>
    <xf numFmtId="4" fontId="0" fillId="33" borderId="30" xfId="0" applyNumberFormat="1" applyFill="1" applyBorder="1" applyProtection="1">
      <protection locked="0"/>
    </xf>
    <xf numFmtId="4" fontId="0" fillId="33" borderId="14" xfId="0" applyNumberFormat="1" applyFill="1" applyBorder="1" applyProtection="1">
      <protection locked="0"/>
    </xf>
    <xf numFmtId="4" fontId="0" fillId="34" borderId="89" xfId="0" applyNumberFormat="1" applyFill="1" applyBorder="1" applyProtection="1">
      <protection locked="0"/>
    </xf>
    <xf numFmtId="4" fontId="0" fillId="34" borderId="33" xfId="0" applyNumberFormat="1" applyFill="1" applyBorder="1" applyProtection="1">
      <protection locked="0"/>
    </xf>
    <xf numFmtId="4" fontId="0" fillId="33" borderId="48" xfId="0" quotePrefix="1" applyNumberFormat="1" applyFill="1" applyBorder="1" applyProtection="1">
      <protection locked="0"/>
    </xf>
    <xf numFmtId="4" fontId="0" fillId="39" borderId="48" xfId="0" applyNumberFormat="1" applyFill="1" applyBorder="1" applyProtection="1">
      <protection locked="0"/>
    </xf>
    <xf numFmtId="10" fontId="0" fillId="30" borderId="19" xfId="0" applyNumberFormat="1" applyFill="1" applyBorder="1"/>
    <xf numFmtId="10" fontId="0" fillId="33" borderId="19" xfId="0" applyNumberFormat="1" applyFill="1" applyBorder="1" applyProtection="1">
      <protection locked="0"/>
    </xf>
    <xf numFmtId="0" fontId="0" fillId="33" borderId="44" xfId="0" applyFill="1" applyBorder="1" applyAlignment="1" applyProtection="1">
      <alignment horizontal="left" vertical="center"/>
      <protection locked="0"/>
    </xf>
    <xf numFmtId="0" fontId="0" fillId="33" borderId="82" xfId="0" applyFill="1" applyBorder="1" applyAlignment="1" applyProtection="1">
      <alignment horizontal="left" vertical="center"/>
      <protection locked="0"/>
    </xf>
    <xf numFmtId="0" fontId="0" fillId="33" borderId="81" xfId="0" applyFill="1" applyBorder="1" applyAlignment="1" applyProtection="1">
      <alignment horizontal="center" vertical="center"/>
      <protection locked="0"/>
    </xf>
    <xf numFmtId="0" fontId="0" fillId="33" borderId="83" xfId="0" applyFill="1" applyBorder="1" applyAlignment="1" applyProtection="1">
      <alignment horizontal="center" vertical="center"/>
      <protection locked="0"/>
    </xf>
    <xf numFmtId="3" fontId="0" fillId="33" borderId="82" xfId="0" applyNumberFormat="1" applyFill="1" applyBorder="1" applyAlignment="1" applyProtection="1">
      <alignment horizontal="center" vertical="center"/>
      <protection locked="0"/>
    </xf>
    <xf numFmtId="3" fontId="0" fillId="33" borderId="52" xfId="0" applyNumberFormat="1" applyFill="1" applyBorder="1" applyAlignment="1" applyProtection="1">
      <alignment horizontal="right" vertical="center"/>
      <protection locked="0"/>
    </xf>
    <xf numFmtId="3" fontId="0" fillId="33" borderId="81" xfId="0" applyNumberFormat="1" applyFill="1" applyBorder="1" applyAlignment="1" applyProtection="1">
      <alignment horizontal="right" vertical="center"/>
      <protection locked="0"/>
    </xf>
    <xf numFmtId="3" fontId="0" fillId="33" borderId="68" xfId="0" applyNumberFormat="1" applyFill="1" applyBorder="1" applyAlignment="1" applyProtection="1">
      <alignment horizontal="right" vertical="center"/>
      <protection locked="0"/>
    </xf>
    <xf numFmtId="0" fontId="0" fillId="33" borderId="15" xfId="0" applyFill="1" applyBorder="1" applyAlignment="1" applyProtection="1">
      <alignment horizontal="left" vertical="center"/>
      <protection locked="0"/>
    </xf>
    <xf numFmtId="0" fontId="0" fillId="33" borderId="85" xfId="0" applyFill="1" applyBorder="1" applyAlignment="1" applyProtection="1">
      <alignment horizontal="center" vertical="center"/>
      <protection locked="0"/>
    </xf>
    <xf numFmtId="3" fontId="0" fillId="33" borderId="72" xfId="0" applyNumberFormat="1" applyFill="1" applyBorder="1" applyAlignment="1" applyProtection="1">
      <alignment horizontal="center" vertical="center"/>
      <protection locked="0"/>
    </xf>
    <xf numFmtId="3" fontId="0" fillId="33" borderId="48" xfId="0" applyNumberFormat="1" applyFill="1" applyBorder="1" applyAlignment="1" applyProtection="1">
      <alignment horizontal="right" vertical="center"/>
      <protection locked="0"/>
    </xf>
    <xf numFmtId="3" fontId="0" fillId="33" borderId="85" xfId="0" applyNumberFormat="1" applyFill="1" applyBorder="1" applyAlignment="1" applyProtection="1">
      <alignment horizontal="right" vertical="center"/>
      <protection locked="0"/>
    </xf>
    <xf numFmtId="3" fontId="0" fillId="33" borderId="55" xfId="0" applyNumberFormat="1" applyFill="1" applyBorder="1" applyAlignment="1" applyProtection="1">
      <alignment horizontal="right" vertical="center"/>
      <protection locked="0"/>
    </xf>
    <xf numFmtId="0" fontId="0" fillId="33" borderId="70" xfId="0" applyFill="1" applyBorder="1" applyAlignment="1" applyProtection="1">
      <alignment horizontal="left" vertical="center"/>
      <protection locked="0"/>
    </xf>
    <xf numFmtId="0" fontId="0" fillId="33" borderId="86" xfId="0" applyFill="1" applyBorder="1" applyAlignment="1" applyProtection="1">
      <alignment horizontal="center" vertical="center"/>
      <protection locked="0"/>
    </xf>
    <xf numFmtId="3" fontId="0" fillId="33" borderId="78" xfId="0" applyNumberFormat="1" applyFill="1" applyBorder="1" applyAlignment="1" applyProtection="1">
      <alignment horizontal="center" vertical="center"/>
      <protection locked="0"/>
    </xf>
    <xf numFmtId="3" fontId="0" fillId="33" borderId="79" xfId="0" applyNumberFormat="1" applyFill="1" applyBorder="1" applyAlignment="1" applyProtection="1">
      <alignment horizontal="right" vertical="center"/>
      <protection locked="0"/>
    </xf>
    <xf numFmtId="3" fontId="0" fillId="33" borderId="86" xfId="0" applyNumberFormat="1" applyFill="1" applyBorder="1" applyAlignment="1" applyProtection="1">
      <alignment horizontal="right" vertical="center"/>
      <protection locked="0"/>
    </xf>
    <xf numFmtId="3" fontId="0" fillId="33" borderId="69" xfId="0" applyNumberFormat="1" applyFill="1" applyBorder="1" applyAlignment="1" applyProtection="1">
      <alignment horizontal="right" vertical="center"/>
      <protection locked="0"/>
    </xf>
    <xf numFmtId="0" fontId="0" fillId="30" borderId="106" xfId="0" applyNumberFormat="1" applyFill="1" applyBorder="1" applyAlignment="1" applyProtection="1">
      <alignment horizontal="right" vertical="center"/>
      <protection locked="0"/>
    </xf>
    <xf numFmtId="0" fontId="0" fillId="30" borderId="107" xfId="0" applyNumberFormat="1" applyFill="1" applyBorder="1" applyAlignment="1" applyProtection="1">
      <alignment horizontal="right" vertical="center"/>
      <protection locked="0"/>
    </xf>
    <xf numFmtId="176" fontId="0" fillId="30" borderId="82" xfId="0" applyNumberFormat="1" applyFill="1" applyBorder="1" applyAlignment="1" applyProtection="1">
      <alignment horizontal="right" vertical="center"/>
      <protection locked="0"/>
    </xf>
    <xf numFmtId="0" fontId="0" fillId="30" borderId="83" xfId="0" applyNumberFormat="1" applyFill="1" applyBorder="1" applyAlignment="1" applyProtection="1">
      <alignment horizontal="right" vertical="center"/>
      <protection locked="0"/>
    </xf>
    <xf numFmtId="177" fontId="0" fillId="30" borderId="82" xfId="0" applyNumberFormat="1" applyFill="1" applyBorder="1" applyAlignment="1" applyProtection="1">
      <alignment horizontal="right" vertical="center"/>
      <protection locked="0"/>
    </xf>
    <xf numFmtId="0" fontId="0" fillId="30" borderId="52" xfId="0" applyNumberFormat="1" applyFill="1" applyBorder="1" applyAlignment="1" applyProtection="1">
      <alignment horizontal="right" vertical="center"/>
      <protection locked="0"/>
    </xf>
    <xf numFmtId="0" fontId="0" fillId="30" borderId="81" xfId="0" applyNumberFormat="1" applyFill="1" applyBorder="1" applyAlignment="1" applyProtection="1">
      <alignment horizontal="right" vertical="center"/>
      <protection locked="0"/>
    </xf>
    <xf numFmtId="176" fontId="0" fillId="30" borderId="68" xfId="0" applyNumberFormat="1" applyFill="1" applyBorder="1" applyAlignment="1" applyProtection="1">
      <alignment horizontal="right" vertical="center"/>
      <protection locked="0"/>
    </xf>
    <xf numFmtId="0" fontId="0" fillId="30" borderId="39" xfId="0" applyNumberFormat="1" applyFill="1" applyBorder="1" applyAlignment="1" applyProtection="1">
      <alignment horizontal="right" vertical="center"/>
      <protection locked="0"/>
    </xf>
    <xf numFmtId="176" fontId="0" fillId="30" borderId="85" xfId="0" applyNumberFormat="1" applyFill="1" applyBorder="1" applyAlignment="1" applyProtection="1">
      <alignment horizontal="right" vertical="center"/>
      <protection locked="0"/>
    </xf>
    <xf numFmtId="176" fontId="0" fillId="30" borderId="72" xfId="0" applyNumberFormat="1" applyFill="1" applyBorder="1" applyAlignment="1" applyProtection="1">
      <alignment horizontal="right" vertical="center"/>
      <protection locked="0"/>
    </xf>
    <xf numFmtId="176" fontId="0" fillId="30" borderId="76" xfId="0" applyNumberFormat="1" applyFill="1" applyBorder="1" applyAlignment="1" applyProtection="1">
      <alignment horizontal="right" vertical="center"/>
      <protection locked="0"/>
    </xf>
    <xf numFmtId="176" fontId="0" fillId="30" borderId="48" xfId="0" applyNumberFormat="1" applyFill="1" applyBorder="1" applyAlignment="1" applyProtection="1">
      <alignment horizontal="right" vertical="center"/>
      <protection locked="0"/>
    </xf>
    <xf numFmtId="176" fontId="0" fillId="30" borderId="55" xfId="0" applyNumberFormat="1" applyFill="1" applyBorder="1" applyAlignment="1" applyProtection="1">
      <alignment horizontal="right" vertical="center"/>
      <protection locked="0"/>
    </xf>
    <xf numFmtId="176" fontId="0" fillId="30" borderId="39" xfId="0" applyNumberFormat="1" applyFill="1" applyBorder="1" applyAlignment="1" applyProtection="1">
      <alignment horizontal="right" vertical="center"/>
      <protection locked="0"/>
    </xf>
    <xf numFmtId="0" fontId="0" fillId="30" borderId="72" xfId="0" applyNumberFormat="1" applyFill="1" applyBorder="1" applyAlignment="1" applyProtection="1">
      <alignment horizontal="right" vertical="center"/>
      <protection locked="0"/>
    </xf>
    <xf numFmtId="176" fontId="0" fillId="30" borderId="34" xfId="0" applyNumberFormat="1" applyFill="1" applyBorder="1" applyAlignment="1" applyProtection="1">
      <alignment horizontal="right" vertical="center"/>
      <protection locked="0"/>
    </xf>
    <xf numFmtId="0" fontId="0" fillId="30" borderId="86" xfId="0" applyNumberFormat="1" applyFill="1" applyBorder="1" applyAlignment="1" applyProtection="1">
      <alignment horizontal="right" vertical="center"/>
      <protection locked="0"/>
    </xf>
    <xf numFmtId="0" fontId="0" fillId="30" borderId="78" xfId="0" applyNumberFormat="1" applyFill="1" applyBorder="1" applyAlignment="1" applyProtection="1">
      <alignment horizontal="right" vertical="center"/>
      <protection locked="0"/>
    </xf>
    <xf numFmtId="0" fontId="0" fillId="30" borderId="80" xfId="0" applyNumberFormat="1" applyFill="1" applyBorder="1" applyAlignment="1" applyProtection="1">
      <alignment horizontal="right" vertical="center"/>
      <protection locked="0"/>
    </xf>
    <xf numFmtId="0" fontId="0" fillId="30" borderId="79" xfId="0" applyNumberFormat="1" applyFill="1" applyBorder="1" applyAlignment="1" applyProtection="1">
      <alignment horizontal="right" vertical="center"/>
      <protection locked="0"/>
    </xf>
    <xf numFmtId="176" fontId="0" fillId="30" borderId="78" xfId="0" applyNumberFormat="1" applyFill="1" applyBorder="1" applyAlignment="1" applyProtection="1">
      <alignment horizontal="right" vertical="center"/>
      <protection locked="0"/>
    </xf>
    <xf numFmtId="0" fontId="0" fillId="30" borderId="69" xfId="0" applyNumberFormat="1" applyFill="1" applyBorder="1" applyAlignment="1" applyProtection="1">
      <alignment horizontal="right" vertical="center"/>
      <protection locked="0"/>
    </xf>
    <xf numFmtId="176" fontId="0" fillId="30" borderId="106" xfId="0" applyNumberFormat="1" applyFill="1" applyBorder="1" applyAlignment="1" applyProtection="1">
      <alignment horizontal="right" vertical="center"/>
      <protection locked="0"/>
    </xf>
    <xf numFmtId="176" fontId="0" fillId="30" borderId="108" xfId="0" applyNumberFormat="1" applyFill="1" applyBorder="1" applyAlignment="1" applyProtection="1">
      <alignment horizontal="right" vertical="center"/>
      <protection locked="0"/>
    </xf>
    <xf numFmtId="176" fontId="0" fillId="30" borderId="69" xfId="0" applyNumberFormat="1" applyFill="1" applyBorder="1" applyAlignment="1" applyProtection="1">
      <alignment horizontal="right" vertical="center"/>
      <protection locked="0"/>
    </xf>
    <xf numFmtId="177" fontId="0" fillId="30" borderId="106" xfId="0" applyNumberFormat="1" applyFill="1" applyBorder="1" applyAlignment="1" applyProtection="1">
      <alignment horizontal="right" vertical="center"/>
      <protection locked="0"/>
    </xf>
    <xf numFmtId="177" fontId="0" fillId="30" borderId="52" xfId="0" applyNumberFormat="1" applyFill="1" applyBorder="1" applyAlignment="1" applyProtection="1">
      <alignment horizontal="right" vertical="center"/>
      <protection locked="0"/>
    </xf>
    <xf numFmtId="177" fontId="0" fillId="30" borderId="81" xfId="0" applyNumberFormat="1" applyFill="1" applyBorder="1" applyAlignment="1" applyProtection="1">
      <alignment horizontal="right" vertical="center"/>
      <protection locked="0"/>
    </xf>
    <xf numFmtId="177" fontId="0" fillId="30" borderId="68" xfId="0" applyNumberFormat="1" applyFill="1" applyBorder="1" applyAlignment="1" applyProtection="1">
      <alignment horizontal="right" vertical="center"/>
      <protection locked="0"/>
    </xf>
    <xf numFmtId="176" fontId="0" fillId="30" borderId="86" xfId="0" applyNumberFormat="1" applyFill="1" applyBorder="1" applyAlignment="1" applyProtection="1">
      <alignment horizontal="right" vertical="center"/>
      <protection locked="0"/>
    </xf>
    <xf numFmtId="0" fontId="0" fillId="30" borderId="83" xfId="0" applyFill="1" applyBorder="1" applyAlignment="1" applyProtection="1">
      <alignment horizontal="left" vertical="center"/>
    </xf>
    <xf numFmtId="177" fontId="0" fillId="30" borderId="82" xfId="0" applyNumberFormat="1" applyFill="1" applyBorder="1" applyAlignment="1" applyProtection="1">
      <alignment horizontal="right" vertical="center"/>
    </xf>
    <xf numFmtId="177" fontId="0" fillId="32" borderId="52" xfId="0" applyNumberFormat="1" applyFill="1" applyBorder="1" applyAlignment="1" applyProtection="1">
      <alignment horizontal="right" vertical="center"/>
    </xf>
    <xf numFmtId="0" fontId="0" fillId="30" borderId="52" xfId="0" applyNumberFormat="1" applyFill="1" applyBorder="1" applyAlignment="1" applyProtection="1">
      <alignment horizontal="right" vertical="center"/>
    </xf>
    <xf numFmtId="177" fontId="0" fillId="32" borderId="81" xfId="0" applyNumberFormat="1" applyFill="1" applyBorder="1" applyAlignment="1" applyProtection="1">
      <alignment horizontal="right" vertical="center"/>
    </xf>
    <xf numFmtId="177" fontId="0" fillId="32" borderId="82" xfId="0" applyNumberFormat="1" applyFill="1" applyBorder="1" applyAlignment="1" applyProtection="1">
      <alignment horizontal="right" vertical="center"/>
    </xf>
    <xf numFmtId="177" fontId="0" fillId="32" borderId="68" xfId="0" applyNumberFormat="1" applyFill="1" applyBorder="1" applyAlignment="1" applyProtection="1">
      <alignment horizontal="right" vertical="center"/>
    </xf>
    <xf numFmtId="0" fontId="0" fillId="30" borderId="76" xfId="0" applyFill="1" applyBorder="1" applyAlignment="1" applyProtection="1">
      <alignment horizontal="left" vertical="center"/>
    </xf>
    <xf numFmtId="177" fontId="0" fillId="30" borderId="72" xfId="0" applyNumberFormat="1" applyFill="1" applyBorder="1" applyAlignment="1" applyProtection="1">
      <alignment horizontal="right" vertical="center"/>
    </xf>
    <xf numFmtId="177" fontId="0" fillId="32" borderId="48" xfId="0" applyNumberFormat="1" applyFill="1" applyBorder="1" applyAlignment="1" applyProtection="1">
      <alignment horizontal="right" vertical="center"/>
    </xf>
    <xf numFmtId="0" fontId="0" fillId="30" borderId="48" xfId="0" applyNumberFormat="1" applyFill="1" applyBorder="1" applyAlignment="1" applyProtection="1">
      <alignment horizontal="right" vertical="center"/>
    </xf>
    <xf numFmtId="177" fontId="0" fillId="32" borderId="85" xfId="0" applyNumberFormat="1" applyFill="1" applyBorder="1" applyAlignment="1" applyProtection="1">
      <alignment horizontal="right" vertical="center"/>
    </xf>
    <xf numFmtId="177" fontId="0" fillId="32" borderId="72" xfId="0" applyNumberFormat="1" applyFill="1" applyBorder="1" applyAlignment="1" applyProtection="1">
      <alignment horizontal="right" vertical="center"/>
    </xf>
    <xf numFmtId="177" fontId="0" fillId="32" borderId="55" xfId="0" applyNumberFormat="1" applyFill="1" applyBorder="1" applyAlignment="1" applyProtection="1">
      <alignment horizontal="right" vertical="center"/>
    </xf>
    <xf numFmtId="177" fontId="0" fillId="30" borderId="48" xfId="0" applyNumberFormat="1" applyFill="1" applyBorder="1" applyAlignment="1" applyProtection="1">
      <alignment horizontal="right" vertical="center"/>
    </xf>
    <xf numFmtId="177" fontId="0" fillId="32" borderId="92" xfId="0" applyNumberFormat="1" applyFill="1" applyBorder="1" applyAlignment="1" applyProtection="1">
      <alignment horizontal="right" vertical="center"/>
    </xf>
    <xf numFmtId="177" fontId="0" fillId="32" borderId="54" xfId="0" applyNumberFormat="1" applyFill="1" applyBorder="1" applyAlignment="1" applyProtection="1">
      <alignment horizontal="right" vertical="center"/>
    </xf>
    <xf numFmtId="177" fontId="0" fillId="30" borderId="54" xfId="0" applyNumberFormat="1" applyFill="1" applyBorder="1" applyAlignment="1" applyProtection="1">
      <alignment horizontal="right" vertical="center"/>
    </xf>
    <xf numFmtId="177" fontId="0" fillId="30" borderId="95" xfId="0" applyNumberFormat="1" applyFill="1" applyBorder="1" applyAlignment="1" applyProtection="1">
      <alignment horizontal="right" vertical="center"/>
    </xf>
    <xf numFmtId="177" fontId="0" fillId="32" borderId="95" xfId="0" applyNumberFormat="1" applyFill="1" applyBorder="1" applyAlignment="1" applyProtection="1">
      <alignment horizontal="right" vertical="center"/>
    </xf>
    <xf numFmtId="0" fontId="0" fillId="30" borderId="76" xfId="0" applyFill="1" applyBorder="1" applyAlignment="1" applyProtection="1">
      <alignment vertical="center"/>
    </xf>
    <xf numFmtId="177" fontId="0" fillId="32" borderId="76" xfId="0" applyNumberFormat="1" applyFill="1" applyBorder="1" applyAlignment="1" applyProtection="1">
      <alignment horizontal="right" vertical="center"/>
    </xf>
    <xf numFmtId="176" fontId="0" fillId="30" borderId="72" xfId="0" applyNumberFormat="1" applyFill="1" applyBorder="1" applyAlignment="1" applyProtection="1">
      <alignment horizontal="right" vertical="center"/>
    </xf>
    <xf numFmtId="0" fontId="0" fillId="30" borderId="76" xfId="0" applyFont="1" applyFill="1" applyBorder="1" applyAlignment="1" applyProtection="1"/>
    <xf numFmtId="0" fontId="0" fillId="30" borderId="76" xfId="0" applyFill="1" applyBorder="1" applyProtection="1"/>
    <xf numFmtId="177" fontId="0" fillId="30" borderId="55" xfId="0" applyNumberFormat="1" applyFill="1" applyBorder="1" applyAlignment="1" applyProtection="1">
      <alignment horizontal="right" vertical="center"/>
    </xf>
    <xf numFmtId="0" fontId="0" fillId="30" borderId="85" xfId="0" applyFill="1" applyBorder="1" applyAlignment="1" applyProtection="1">
      <alignment horizontal="left" vertical="center"/>
    </xf>
    <xf numFmtId="166" fontId="0" fillId="32" borderId="72" xfId="0" applyNumberFormat="1" applyFill="1" applyBorder="1" applyAlignment="1" applyProtection="1">
      <alignment horizontal="center" vertical="center"/>
    </xf>
    <xf numFmtId="166" fontId="0" fillId="32" borderId="55" xfId="0" applyNumberFormat="1" applyFill="1" applyBorder="1" applyAlignment="1" applyProtection="1">
      <alignment horizontal="center" vertical="center"/>
    </xf>
    <xf numFmtId="0" fontId="0" fillId="30" borderId="80" xfId="0" applyFill="1" applyBorder="1" applyAlignment="1" applyProtection="1">
      <alignment horizontal="left" vertical="center"/>
    </xf>
    <xf numFmtId="0" fontId="0" fillId="32" borderId="87" xfId="0" applyFill="1" applyBorder="1" applyAlignment="1" applyProtection="1">
      <alignment horizontal="left" vertical="center"/>
    </xf>
    <xf numFmtId="0" fontId="0" fillId="32" borderId="60" xfId="0" applyFill="1" applyBorder="1" applyAlignment="1" applyProtection="1">
      <alignment horizontal="left" vertical="center"/>
    </xf>
    <xf numFmtId="0" fontId="0" fillId="32" borderId="59" xfId="0" applyFill="1" applyBorder="1" applyAlignment="1" applyProtection="1">
      <alignment horizontal="left" vertical="center"/>
    </xf>
    <xf numFmtId="0" fontId="0" fillId="32" borderId="78" xfId="0" applyFill="1" applyBorder="1" applyAlignment="1" applyProtection="1">
      <alignment horizontal="left" vertical="center"/>
    </xf>
    <xf numFmtId="0" fontId="0" fillId="32" borderId="69" xfId="0" applyFill="1" applyBorder="1" applyAlignment="1" applyProtection="1">
      <alignment horizontal="left" vertical="center"/>
    </xf>
    <xf numFmtId="0" fontId="0" fillId="30" borderId="25" xfId="0" applyFill="1" applyBorder="1" applyAlignment="1" applyProtection="1">
      <alignment horizontal="center" vertical="center"/>
    </xf>
    <xf numFmtId="0" fontId="0" fillId="30" borderId="73" xfId="0" applyFill="1" applyBorder="1" applyAlignment="1" applyProtection="1">
      <alignment horizontal="center" vertical="center"/>
    </xf>
    <xf numFmtId="0" fontId="0" fillId="30" borderId="57" xfId="0" applyFill="1" applyBorder="1" applyAlignment="1" applyProtection="1">
      <alignment horizontal="center" vertical="center"/>
    </xf>
    <xf numFmtId="0" fontId="0" fillId="30" borderId="74" xfId="0" applyFill="1" applyBorder="1" applyAlignment="1" applyProtection="1">
      <alignment horizontal="center" vertical="center"/>
    </xf>
    <xf numFmtId="3" fontId="0" fillId="30" borderId="73" xfId="0" applyNumberFormat="1" applyFill="1" applyBorder="1" applyAlignment="1" applyProtection="1">
      <alignment horizontal="center" vertical="center"/>
    </xf>
    <xf numFmtId="3" fontId="0" fillId="30" borderId="50" xfId="0" applyNumberFormat="1" applyFill="1" applyBorder="1" applyAlignment="1" applyProtection="1">
      <alignment horizontal="center" vertical="center"/>
    </xf>
    <xf numFmtId="3" fontId="0" fillId="30" borderId="57" xfId="0" applyNumberFormat="1" applyFill="1" applyBorder="1" applyAlignment="1" applyProtection="1">
      <alignment horizontal="center" vertical="center"/>
    </xf>
    <xf numFmtId="3" fontId="0" fillId="30" borderId="58" xfId="0" applyNumberFormat="1" applyFill="1" applyBorder="1" applyAlignment="1" applyProtection="1">
      <alignment horizontal="center" vertical="center"/>
    </xf>
    <xf numFmtId="0" fontId="0" fillId="30" borderId="34" xfId="0" applyFill="1" applyBorder="1" applyAlignment="1" applyProtection="1">
      <alignment horizontal="center" vertical="center"/>
    </xf>
    <xf numFmtId="0" fontId="0" fillId="30" borderId="80" xfId="0" applyFill="1" applyBorder="1" applyAlignment="1" applyProtection="1">
      <alignment horizontal="center" vertical="center"/>
    </xf>
    <xf numFmtId="0" fontId="0" fillId="30" borderId="69" xfId="0" applyFill="1" applyBorder="1" applyAlignment="1" applyProtection="1">
      <alignment horizontal="center" vertical="center"/>
    </xf>
    <xf numFmtId="176" fontId="0" fillId="30" borderId="82" xfId="0" applyNumberFormat="1" applyFill="1" applyBorder="1" applyAlignment="1" applyProtection="1">
      <alignment horizontal="right" vertical="center"/>
    </xf>
    <xf numFmtId="176" fontId="0" fillId="30" borderId="83" xfId="0" applyNumberFormat="1" applyFill="1" applyBorder="1" applyAlignment="1" applyProtection="1">
      <alignment horizontal="right" vertical="center"/>
    </xf>
    <xf numFmtId="176" fontId="0" fillId="30" borderId="68" xfId="0" applyNumberFormat="1" applyFill="1" applyBorder="1" applyAlignment="1" applyProtection="1">
      <alignment horizontal="right" vertical="center"/>
    </xf>
    <xf numFmtId="0" fontId="0" fillId="30" borderId="44" xfId="0" applyFill="1" applyBorder="1" applyAlignment="1" applyProtection="1">
      <alignment vertical="center"/>
    </xf>
    <xf numFmtId="0" fontId="0" fillId="30" borderId="38" xfId="0" applyFill="1" applyBorder="1" applyAlignment="1" applyProtection="1">
      <alignment horizontal="center" vertical="center"/>
    </xf>
    <xf numFmtId="0" fontId="0" fillId="30" borderId="75" xfId="0" applyFill="1" applyBorder="1" applyAlignment="1" applyProtection="1">
      <alignment vertical="center"/>
    </xf>
    <xf numFmtId="3" fontId="0" fillId="30" borderId="82" xfId="0" applyNumberFormat="1" applyFill="1" applyBorder="1" applyAlignment="1" applyProtection="1">
      <alignment horizontal="right" vertical="center"/>
    </xf>
    <xf numFmtId="3" fontId="0" fillId="30" borderId="52" xfId="0" applyNumberFormat="1" applyFill="1" applyBorder="1" applyAlignment="1" applyProtection="1">
      <alignment horizontal="right" vertical="center"/>
    </xf>
    <xf numFmtId="3" fontId="0" fillId="30" borderId="81" xfId="0" applyNumberFormat="1" applyFill="1" applyBorder="1" applyAlignment="1" applyProtection="1">
      <alignment horizontal="right" vertical="center"/>
    </xf>
    <xf numFmtId="3" fontId="0" fillId="30" borderId="68" xfId="0" applyNumberFormat="1" applyFill="1" applyBorder="1" applyAlignment="1" applyProtection="1">
      <alignment horizontal="right" vertical="center"/>
    </xf>
    <xf numFmtId="176" fontId="0" fillId="30" borderId="36" xfId="0" applyNumberFormat="1" applyFill="1" applyBorder="1" applyAlignment="1" applyProtection="1">
      <alignment horizontal="right" vertical="center"/>
    </xf>
    <xf numFmtId="176" fontId="0" fillId="30" borderId="81" xfId="0" applyNumberFormat="1" applyFill="1" applyBorder="1" applyAlignment="1" applyProtection="1">
      <alignment horizontal="right" vertical="center"/>
    </xf>
    <xf numFmtId="176" fontId="0" fillId="30" borderId="52" xfId="0" applyNumberFormat="1" applyFill="1" applyBorder="1" applyAlignment="1" applyProtection="1">
      <alignment horizontal="right" vertical="center"/>
    </xf>
    <xf numFmtId="0" fontId="0" fillId="30" borderId="137" xfId="0" applyFill="1" applyBorder="1" applyAlignment="1" applyProtection="1">
      <alignment horizontal="center" vertical="center"/>
    </xf>
    <xf numFmtId="3" fontId="0" fillId="30" borderId="73" xfId="0" applyNumberFormat="1" applyFill="1" applyBorder="1" applyAlignment="1" applyProtection="1">
      <alignment horizontal="right" vertical="center"/>
    </xf>
    <xf numFmtId="3" fontId="0" fillId="30" borderId="50" xfId="0" applyNumberFormat="1" applyFill="1" applyBorder="1" applyAlignment="1" applyProtection="1">
      <alignment horizontal="right" vertical="center"/>
    </xf>
    <xf numFmtId="3" fontId="0" fillId="30" borderId="57" xfId="0" applyNumberFormat="1" applyFill="1" applyBorder="1" applyAlignment="1" applyProtection="1">
      <alignment horizontal="right" vertical="center"/>
    </xf>
    <xf numFmtId="3" fontId="0" fillId="30" borderId="58" xfId="0" applyNumberFormat="1" applyFill="1" applyBorder="1" applyAlignment="1" applyProtection="1">
      <alignment horizontal="right" vertical="center"/>
    </xf>
    <xf numFmtId="176" fontId="0" fillId="30" borderId="47" xfId="0" applyNumberFormat="1" applyFill="1" applyBorder="1" applyAlignment="1" applyProtection="1">
      <alignment horizontal="right" vertical="center"/>
    </xf>
    <xf numFmtId="176" fontId="0" fillId="30" borderId="57" xfId="0" applyNumberFormat="1" applyFill="1" applyBorder="1" applyAlignment="1" applyProtection="1">
      <alignment horizontal="right" vertical="center"/>
    </xf>
    <xf numFmtId="176" fontId="0" fillId="30" borderId="73" xfId="0" applyNumberFormat="1" applyFill="1" applyBorder="1" applyAlignment="1" applyProtection="1">
      <alignment horizontal="right" vertical="center"/>
    </xf>
    <xf numFmtId="176" fontId="0" fillId="30" borderId="74" xfId="0" applyNumberFormat="1" applyFill="1" applyBorder="1" applyAlignment="1" applyProtection="1">
      <alignment horizontal="right" vertical="center"/>
    </xf>
    <xf numFmtId="176" fontId="0" fillId="30" borderId="127" xfId="0" applyNumberFormat="1" applyFill="1" applyBorder="1" applyAlignment="1" applyProtection="1">
      <alignment horizontal="right" vertical="center"/>
    </xf>
    <xf numFmtId="176" fontId="0" fillId="30" borderId="50" xfId="0" applyNumberFormat="1" applyFill="1" applyBorder="1" applyAlignment="1" applyProtection="1">
      <alignment horizontal="right" vertical="center"/>
    </xf>
    <xf numFmtId="176" fontId="0" fillId="30" borderId="58" xfId="0" applyNumberFormat="1" applyFill="1" applyBorder="1" applyAlignment="1" applyProtection="1">
      <alignment horizontal="right" vertical="center"/>
    </xf>
    <xf numFmtId="176" fontId="0" fillId="30" borderId="107" xfId="0" applyNumberFormat="1" applyFill="1" applyBorder="1" applyAlignment="1" applyProtection="1">
      <alignment horizontal="right" vertical="center"/>
      <protection locked="0"/>
    </xf>
    <xf numFmtId="176" fontId="0" fillId="30" borderId="83" xfId="0" applyNumberFormat="1" applyFill="1" applyBorder="1" applyAlignment="1" applyProtection="1">
      <alignment horizontal="right" vertical="center"/>
      <protection locked="0"/>
    </xf>
    <xf numFmtId="176" fontId="0" fillId="30" borderId="80" xfId="0" applyNumberFormat="1" applyFill="1" applyBorder="1" applyAlignment="1" applyProtection="1">
      <alignment horizontal="right" vertical="center"/>
      <protection locked="0"/>
    </xf>
    <xf numFmtId="176" fontId="0" fillId="30" borderId="79" xfId="0" applyNumberFormat="1" applyFill="1" applyBorder="1" applyAlignment="1" applyProtection="1">
      <alignment horizontal="right" vertical="center"/>
      <protection locked="0"/>
    </xf>
    <xf numFmtId="0" fontId="0" fillId="30" borderId="54" xfId="0" applyNumberFormat="1" applyFill="1" applyBorder="1" applyAlignment="1">
      <alignment horizontal="right" vertical="center"/>
    </xf>
    <xf numFmtId="176" fontId="0" fillId="30" borderId="160" xfId="0" applyNumberFormat="1" applyFill="1" applyBorder="1" applyAlignment="1" applyProtection="1">
      <alignment horizontal="right" vertical="center"/>
      <protection locked="0"/>
    </xf>
    <xf numFmtId="176" fontId="0" fillId="30" borderId="29" xfId="0" applyNumberFormat="1" applyFill="1" applyBorder="1" applyAlignment="1" applyProtection="1">
      <alignment horizontal="right" vertical="center"/>
      <protection locked="0"/>
    </xf>
    <xf numFmtId="176" fontId="0" fillId="30" borderId="41" xfId="0" applyNumberFormat="1" applyFill="1" applyBorder="1" applyAlignment="1" applyProtection="1">
      <alignment horizontal="right" vertical="center"/>
      <protection locked="0"/>
    </xf>
    <xf numFmtId="177" fontId="0" fillId="33" borderId="158" xfId="0" applyNumberFormat="1" applyFill="1" applyBorder="1" applyAlignment="1" applyProtection="1">
      <alignment horizontal="center" vertical="center"/>
      <protection locked="0"/>
    </xf>
    <xf numFmtId="176" fontId="0" fillId="33" borderId="84" xfId="0" applyNumberFormat="1" applyFill="1" applyBorder="1" applyAlignment="1" applyProtection="1">
      <alignment horizontal="right" vertical="center"/>
      <protection locked="0"/>
    </xf>
    <xf numFmtId="176" fontId="0" fillId="33" borderId="30" xfId="0" applyNumberFormat="1" applyFill="1" applyBorder="1" applyAlignment="1" applyProtection="1">
      <alignment horizontal="right" vertical="center"/>
      <protection locked="0"/>
    </xf>
    <xf numFmtId="176" fontId="0" fillId="33" borderId="42" xfId="0" applyNumberFormat="1" applyFill="1" applyBorder="1" applyAlignment="1" applyProtection="1">
      <alignment horizontal="right" vertical="center"/>
      <protection locked="0"/>
    </xf>
    <xf numFmtId="176" fontId="0" fillId="30" borderId="30" xfId="0" applyNumberFormat="1" applyFill="1" applyBorder="1" applyAlignment="1" applyProtection="1">
      <alignment horizontal="right" vertical="center"/>
      <protection locked="0"/>
    </xf>
    <xf numFmtId="176" fontId="0" fillId="30" borderId="42" xfId="0" applyNumberFormat="1" applyFill="1" applyBorder="1" applyAlignment="1" applyProtection="1">
      <alignment horizontal="right" vertical="center"/>
      <protection locked="0"/>
    </xf>
    <xf numFmtId="0" fontId="0" fillId="33" borderId="14" xfId="0" applyFill="1" applyBorder="1" applyAlignment="1" applyProtection="1">
      <alignment horizontal="left" vertical="center"/>
      <protection locked="0"/>
    </xf>
    <xf numFmtId="0" fontId="0" fillId="33" borderId="71" xfId="0" applyFill="1" applyBorder="1" applyAlignment="1" applyProtection="1">
      <alignment horizontal="left" vertical="center" wrapText="1"/>
      <protection locked="0"/>
    </xf>
    <xf numFmtId="0" fontId="0" fillId="33" borderId="67" xfId="0" applyFill="1" applyBorder="1" applyAlignment="1" applyProtection="1">
      <alignment horizontal="left" vertical="center"/>
      <protection locked="0"/>
    </xf>
    <xf numFmtId="0" fontId="0" fillId="33" borderId="77" xfId="0" applyFill="1" applyBorder="1" applyAlignment="1" applyProtection="1">
      <alignment horizontal="left" vertical="center" wrapText="1"/>
      <protection locked="0"/>
    </xf>
    <xf numFmtId="0" fontId="2" fillId="30" borderId="0" xfId="224" applyFill="1" applyAlignment="1" applyProtection="1">
      <alignment vertical="center"/>
    </xf>
    <xf numFmtId="0" fontId="42" fillId="30" borderId="16" xfId="258" applyFont="1" applyFill="1" applyBorder="1" applyAlignment="1" applyProtection="1">
      <alignment vertical="center"/>
    </xf>
    <xf numFmtId="0" fontId="73" fillId="30" borderId="44" xfId="224" applyFont="1" applyFill="1" applyBorder="1" applyAlignment="1" applyProtection="1">
      <alignment horizontal="center" vertical="center"/>
    </xf>
    <xf numFmtId="0" fontId="73" fillId="30" borderId="38" xfId="224" applyFont="1" applyFill="1" applyBorder="1" applyAlignment="1" applyProtection="1">
      <alignment horizontal="center" vertical="center"/>
    </xf>
    <xf numFmtId="0" fontId="73" fillId="30" borderId="82" xfId="224" applyFont="1" applyFill="1" applyBorder="1" applyAlignment="1" applyProtection="1">
      <alignment horizontal="center" vertical="center"/>
    </xf>
    <xf numFmtId="0" fontId="73" fillId="30" borderId="83" xfId="224" applyFont="1" applyFill="1" applyBorder="1" applyAlignment="1" applyProtection="1">
      <alignment horizontal="center" vertical="center"/>
    </xf>
    <xf numFmtId="0" fontId="73" fillId="30" borderId="53" xfId="224" applyFont="1" applyFill="1" applyBorder="1" applyAlignment="1" applyProtection="1">
      <alignment horizontal="center" vertical="center"/>
    </xf>
    <xf numFmtId="0" fontId="74" fillId="30" borderId="15" xfId="224" applyFont="1" applyFill="1" applyBorder="1" applyAlignment="1" applyProtection="1">
      <alignment vertical="center"/>
    </xf>
    <xf numFmtId="0" fontId="74" fillId="30" borderId="14" xfId="224" applyFont="1" applyFill="1" applyBorder="1" applyAlignment="1" applyProtection="1">
      <alignment vertical="center"/>
    </xf>
    <xf numFmtId="176" fontId="73" fillId="30" borderId="72" xfId="224" applyNumberFormat="1" applyFont="1" applyFill="1" applyBorder="1" applyAlignment="1" applyProtection="1">
      <alignment vertical="center"/>
    </xf>
    <xf numFmtId="10" fontId="73" fillId="30" borderId="76" xfId="158" applyNumberFormat="1" applyFont="1" applyFill="1" applyBorder="1" applyAlignment="1" applyProtection="1">
      <alignment horizontal="right" vertical="center"/>
    </xf>
    <xf numFmtId="176" fontId="73" fillId="30" borderId="31" xfId="224" applyNumberFormat="1" applyFont="1" applyFill="1" applyBorder="1" applyAlignment="1" applyProtection="1">
      <alignment vertical="center"/>
    </xf>
    <xf numFmtId="0" fontId="62" fillId="30" borderId="15" xfId="224" applyFont="1" applyFill="1" applyBorder="1" applyAlignment="1" applyProtection="1">
      <alignment vertical="center"/>
    </xf>
    <xf numFmtId="0" fontId="62" fillId="30" borderId="14" xfId="224" applyFont="1" applyFill="1" applyBorder="1" applyAlignment="1" applyProtection="1">
      <alignment vertical="center"/>
    </xf>
    <xf numFmtId="176" fontId="62" fillId="30" borderId="72" xfId="224" applyNumberFormat="1" applyFont="1" applyFill="1" applyBorder="1" applyAlignment="1" applyProtection="1">
      <alignment vertical="center"/>
    </xf>
    <xf numFmtId="10" fontId="62" fillId="30" borderId="76" xfId="158"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vertical="center"/>
    </xf>
    <xf numFmtId="0" fontId="62" fillId="30" borderId="15" xfId="224" applyFont="1" applyFill="1" applyBorder="1" applyAlignment="1" applyProtection="1">
      <alignment horizontal="right" vertical="center"/>
    </xf>
    <xf numFmtId="176" fontId="62" fillId="30" borderId="72" xfId="263" applyNumberFormat="1" applyFont="1" applyFill="1" applyBorder="1" applyAlignment="1" applyProtection="1">
      <alignment vertical="center"/>
    </xf>
    <xf numFmtId="176" fontId="62" fillId="30" borderId="72" xfId="224"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horizontal="right" vertical="center"/>
    </xf>
    <xf numFmtId="0" fontId="62" fillId="30" borderId="14" xfId="224" applyFont="1" applyFill="1" applyBorder="1" applyAlignment="1" applyProtection="1">
      <alignment vertical="center" wrapText="1"/>
    </xf>
    <xf numFmtId="176" fontId="73" fillId="30" borderId="72" xfId="263" applyNumberFormat="1" applyFont="1" applyFill="1" applyBorder="1" applyAlignment="1" applyProtection="1">
      <alignment vertical="center"/>
    </xf>
    <xf numFmtId="176" fontId="73" fillId="30" borderId="72" xfId="224" applyNumberFormat="1" applyFont="1" applyFill="1" applyBorder="1" applyAlignment="1" applyProtection="1">
      <alignment horizontal="right" vertical="center"/>
    </xf>
    <xf numFmtId="0" fontId="62" fillId="30" borderId="70" xfId="224" applyFont="1" applyFill="1" applyBorder="1" applyAlignment="1" applyProtection="1">
      <alignment horizontal="right" vertical="center"/>
    </xf>
    <xf numFmtId="0" fontId="62" fillId="30" borderId="67" xfId="224" applyFont="1" applyFill="1" applyBorder="1" applyAlignment="1" applyProtection="1">
      <alignment vertical="center" wrapText="1"/>
    </xf>
    <xf numFmtId="176" fontId="75" fillId="30" borderId="78" xfId="263" applyNumberFormat="1" applyFont="1" applyFill="1" applyBorder="1" applyAlignment="1" applyProtection="1">
      <alignment horizontal="right" vertical="center"/>
    </xf>
    <xf numFmtId="10" fontId="75" fillId="30" borderId="80" xfId="158" applyNumberFormat="1" applyFont="1" applyFill="1" applyBorder="1" applyAlignment="1" applyProtection="1">
      <alignment horizontal="right" vertical="center"/>
    </xf>
    <xf numFmtId="176" fontId="75" fillId="30" borderId="35" xfId="263" applyNumberFormat="1" applyFont="1" applyFill="1" applyBorder="1" applyAlignment="1" applyProtection="1">
      <alignment horizontal="right" vertical="center"/>
    </xf>
    <xf numFmtId="0" fontId="73" fillId="30" borderId="135" xfId="224" applyFont="1" applyFill="1" applyBorder="1" applyAlignment="1" applyProtection="1">
      <alignment horizontal="right" vertical="center"/>
    </xf>
    <xf numFmtId="0" fontId="73" fillId="30" borderId="136" xfId="224" applyFont="1" applyFill="1" applyBorder="1" applyAlignment="1" applyProtection="1">
      <alignment vertical="center"/>
    </xf>
    <xf numFmtId="0" fontId="73" fillId="30" borderId="136" xfId="224" applyFont="1" applyFill="1" applyBorder="1" applyAlignment="1" applyProtection="1">
      <alignment vertical="center" wrapText="1"/>
    </xf>
    <xf numFmtId="176" fontId="73" fillId="30" borderId="138" xfId="263" applyNumberFormat="1" applyFont="1" applyFill="1" applyBorder="1" applyAlignment="1" applyProtection="1">
      <alignment horizontal="right" vertical="center"/>
    </xf>
    <xf numFmtId="10" fontId="73" fillId="30" borderId="74" xfId="158" applyNumberFormat="1" applyFont="1" applyFill="1" applyBorder="1" applyAlignment="1" applyProtection="1">
      <alignment horizontal="right" vertical="center"/>
    </xf>
    <xf numFmtId="176" fontId="73" fillId="30" borderId="142" xfId="263" applyNumberFormat="1" applyFont="1" applyFill="1" applyBorder="1" applyAlignment="1" applyProtection="1">
      <alignment horizontal="right" vertical="center"/>
    </xf>
    <xf numFmtId="0" fontId="34" fillId="30" borderId="0" xfId="258" applyFont="1" applyFill="1" applyAlignment="1" applyProtection="1">
      <alignment vertical="center"/>
    </xf>
    <xf numFmtId="0" fontId="11" fillId="30" borderId="0" xfId="258" applyFont="1" applyFill="1" applyAlignment="1" applyProtection="1">
      <alignment vertical="center"/>
    </xf>
    <xf numFmtId="0" fontId="73" fillId="30" borderId="78" xfId="224" applyFont="1" applyFill="1" applyBorder="1" applyAlignment="1" applyProtection="1">
      <alignment horizontal="center" vertical="center"/>
    </xf>
    <xf numFmtId="0" fontId="73" fillId="30" borderId="79" xfId="224" applyFont="1" applyFill="1" applyBorder="1" applyAlignment="1" applyProtection="1">
      <alignment horizontal="center" vertical="center"/>
    </xf>
    <xf numFmtId="0" fontId="73" fillId="30" borderId="80" xfId="224" applyFont="1" applyFill="1" applyBorder="1" applyAlignment="1" applyProtection="1">
      <alignment horizontal="center" vertical="center"/>
    </xf>
    <xf numFmtId="0" fontId="73" fillId="30" borderId="69" xfId="224" applyFont="1" applyFill="1" applyBorder="1" applyAlignment="1" applyProtection="1">
      <alignment horizontal="center" vertical="center"/>
    </xf>
    <xf numFmtId="0" fontId="73" fillId="30" borderId="52" xfId="224" applyFont="1" applyFill="1" applyBorder="1" applyAlignment="1" applyProtection="1">
      <alignment horizontal="center" vertical="center"/>
    </xf>
    <xf numFmtId="0" fontId="73" fillId="30" borderId="68" xfId="224" applyFont="1" applyFill="1" applyBorder="1" applyAlignment="1" applyProtection="1">
      <alignment horizontal="center" vertical="center"/>
    </xf>
    <xf numFmtId="176" fontId="73" fillId="30" borderId="48" xfId="224" applyNumberFormat="1" applyFont="1" applyFill="1" applyBorder="1" applyAlignment="1" applyProtection="1">
      <alignment vertical="center"/>
    </xf>
    <xf numFmtId="176" fontId="73" fillId="30" borderId="76" xfId="224" applyNumberFormat="1" applyFont="1" applyFill="1" applyBorder="1" applyAlignment="1" applyProtection="1">
      <alignment vertical="center"/>
    </xf>
    <xf numFmtId="176" fontId="73" fillId="30" borderId="55" xfId="224" applyNumberFormat="1" applyFont="1" applyFill="1" applyBorder="1" applyAlignment="1" applyProtection="1">
      <alignment vertical="center"/>
    </xf>
    <xf numFmtId="176" fontId="62" fillId="30" borderId="48" xfId="224" applyNumberFormat="1" applyFont="1" applyFill="1" applyBorder="1" applyAlignment="1" applyProtection="1">
      <alignment vertical="center"/>
    </xf>
    <xf numFmtId="176" fontId="73" fillId="30" borderId="76" xfId="263" applyNumberFormat="1" applyFont="1" applyFill="1" applyBorder="1" applyAlignment="1" applyProtection="1">
      <alignment vertical="center"/>
    </xf>
    <xf numFmtId="176" fontId="73" fillId="32" borderId="55" xfId="263" applyNumberFormat="1" applyFont="1" applyFill="1" applyBorder="1" applyAlignment="1" applyProtection="1">
      <alignment vertical="center"/>
    </xf>
    <xf numFmtId="176" fontId="73" fillId="32" borderId="76" xfId="263" applyNumberFormat="1" applyFont="1" applyFill="1" applyBorder="1" applyAlignment="1" applyProtection="1">
      <alignment vertical="center"/>
    </xf>
    <xf numFmtId="176" fontId="73" fillId="30" borderId="55" xfId="263" applyNumberFormat="1" applyFont="1" applyFill="1" applyBorder="1" applyAlignment="1" applyProtection="1">
      <alignment vertical="center"/>
    </xf>
    <xf numFmtId="176" fontId="62" fillId="30" borderId="76" xfId="224" applyNumberFormat="1" applyFont="1" applyFill="1" applyBorder="1" applyAlignment="1" applyProtection="1">
      <alignment vertical="center"/>
    </xf>
    <xf numFmtId="176" fontId="62" fillId="30" borderId="55" xfId="224" applyNumberFormat="1" applyFont="1" applyFill="1" applyBorder="1" applyAlignment="1" applyProtection="1">
      <alignment vertical="center"/>
    </xf>
    <xf numFmtId="176" fontId="73" fillId="30" borderId="48" xfId="263" applyNumberFormat="1" applyFont="1" applyFill="1" applyBorder="1" applyAlignment="1" applyProtection="1">
      <alignment vertical="center"/>
    </xf>
    <xf numFmtId="176" fontId="73" fillId="32" borderId="72" xfId="263" applyNumberFormat="1" applyFont="1" applyFill="1" applyBorder="1" applyAlignment="1" applyProtection="1">
      <alignment vertical="center"/>
    </xf>
    <xf numFmtId="176" fontId="73" fillId="32" borderId="48" xfId="263" applyNumberFormat="1" applyFont="1" applyFill="1" applyBorder="1" applyAlignment="1" applyProtection="1">
      <alignment vertical="center"/>
    </xf>
    <xf numFmtId="176" fontId="62" fillId="30" borderId="78" xfId="263" applyNumberFormat="1" applyFont="1" applyFill="1" applyBorder="1" applyAlignment="1" applyProtection="1">
      <alignment vertical="center"/>
    </xf>
    <xf numFmtId="176" fontId="62" fillId="30" borderId="79" xfId="263" applyNumberFormat="1" applyFont="1" applyFill="1" applyBorder="1" applyAlignment="1" applyProtection="1">
      <alignment vertical="center"/>
    </xf>
    <xf numFmtId="176" fontId="62" fillId="30" borderId="80" xfId="263" applyNumberFormat="1" applyFont="1" applyFill="1" applyBorder="1" applyAlignment="1" applyProtection="1">
      <alignment vertical="center"/>
    </xf>
    <xf numFmtId="176" fontId="73" fillId="30" borderId="80" xfId="263" applyNumberFormat="1" applyFont="1" applyFill="1" applyBorder="1" applyAlignment="1" applyProtection="1">
      <alignment vertical="center"/>
    </xf>
    <xf numFmtId="176" fontId="73" fillId="30" borderId="69" xfId="263" applyNumberFormat="1" applyFont="1" applyFill="1" applyBorder="1" applyAlignment="1" applyProtection="1">
      <alignment vertical="center"/>
    </xf>
    <xf numFmtId="0" fontId="62" fillId="30" borderId="135" xfId="224" applyFont="1" applyFill="1" applyBorder="1" applyAlignment="1" applyProtection="1">
      <alignment vertical="center"/>
    </xf>
    <xf numFmtId="0" fontId="62" fillId="30" borderId="136" xfId="224" applyFont="1" applyFill="1" applyBorder="1" applyAlignment="1" applyProtection="1">
      <alignment vertical="center"/>
    </xf>
    <xf numFmtId="176" fontId="73" fillId="30" borderId="138" xfId="224" applyNumberFormat="1" applyFont="1" applyFill="1" applyBorder="1" applyAlignment="1" applyProtection="1">
      <alignment vertical="center"/>
    </xf>
    <xf numFmtId="176" fontId="73" fillId="30" borderId="50" xfId="224" applyNumberFormat="1" applyFont="1" applyFill="1" applyBorder="1" applyAlignment="1" applyProtection="1">
      <alignment vertical="center"/>
    </xf>
    <xf numFmtId="176" fontId="73" fillId="30" borderId="74" xfId="224" applyNumberFormat="1" applyFont="1" applyFill="1" applyBorder="1" applyAlignment="1" applyProtection="1">
      <alignment vertical="center"/>
    </xf>
    <xf numFmtId="176" fontId="73" fillId="30" borderId="58" xfId="224" applyNumberFormat="1" applyFont="1" applyFill="1" applyBorder="1" applyAlignment="1" applyProtection="1">
      <alignment vertical="center"/>
    </xf>
    <xf numFmtId="0" fontId="38" fillId="30" borderId="0" xfId="224" applyFont="1" applyFill="1" applyAlignment="1" applyProtection="1">
      <alignment horizontal="right" vertical="center"/>
    </xf>
    <xf numFmtId="0" fontId="38" fillId="30" borderId="0" xfId="224" applyFont="1" applyFill="1" applyAlignment="1" applyProtection="1">
      <alignment vertical="center"/>
    </xf>
    <xf numFmtId="0" fontId="41" fillId="30" borderId="0" xfId="0" applyFont="1" applyFill="1" applyAlignment="1" applyProtection="1">
      <alignment vertical="center"/>
    </xf>
    <xf numFmtId="10" fontId="41" fillId="30" borderId="0" xfId="158" applyNumberFormat="1" applyFont="1" applyFill="1" applyAlignment="1" applyProtection="1">
      <alignment horizontal="right" vertical="center"/>
    </xf>
    <xf numFmtId="0" fontId="41" fillId="30" borderId="0" xfId="158" applyNumberFormat="1" applyFont="1" applyFill="1" applyAlignment="1" applyProtection="1">
      <alignment horizontal="right" vertical="center"/>
    </xf>
    <xf numFmtId="0" fontId="2" fillId="30" borderId="0" xfId="224" applyFill="1" applyAlignment="1" applyProtection="1">
      <alignment horizontal="right" vertical="center"/>
    </xf>
    <xf numFmtId="10" fontId="2" fillId="30" borderId="0" xfId="158" applyNumberFormat="1" applyFont="1" applyFill="1" applyAlignment="1" applyProtection="1">
      <alignment vertical="center"/>
    </xf>
    <xf numFmtId="10" fontId="2" fillId="30" borderId="0" xfId="158" applyNumberFormat="1" applyFont="1" applyFill="1" applyAlignment="1" applyProtection="1">
      <alignment horizontal="right" vertical="center"/>
    </xf>
    <xf numFmtId="177" fontId="62" fillId="33" borderId="72" xfId="0" applyNumberFormat="1" applyFont="1" applyFill="1" applyBorder="1" applyAlignment="1" applyProtection="1">
      <alignment vertical="center"/>
      <protection locked="0"/>
    </xf>
    <xf numFmtId="177" fontId="62" fillId="33" borderId="48" xfId="0" applyNumberFormat="1" applyFont="1" applyFill="1" applyBorder="1" applyAlignment="1" applyProtection="1">
      <alignment vertical="center"/>
      <protection locked="0"/>
    </xf>
    <xf numFmtId="177" fontId="62" fillId="34" borderId="48" xfId="0" applyNumberFormat="1" applyFont="1" applyFill="1" applyBorder="1" applyAlignment="1" applyProtection="1">
      <alignment vertical="center"/>
      <protection locked="0"/>
    </xf>
    <xf numFmtId="177" fontId="62" fillId="34" borderId="76" xfId="0" applyNumberFormat="1" applyFont="1" applyFill="1" applyBorder="1" applyAlignment="1" applyProtection="1">
      <alignment vertical="center"/>
      <protection locked="0"/>
    </xf>
    <xf numFmtId="177" fontId="62" fillId="34" borderId="31" xfId="0" applyNumberFormat="1" applyFont="1" applyFill="1" applyBorder="1" applyAlignment="1" applyProtection="1">
      <alignment vertical="center"/>
      <protection locked="0"/>
    </xf>
    <xf numFmtId="177" fontId="62" fillId="33" borderId="76" xfId="0" applyNumberFormat="1" applyFont="1" applyFill="1" applyBorder="1" applyAlignment="1" applyProtection="1">
      <alignment vertical="center"/>
      <protection locked="0"/>
    </xf>
    <xf numFmtId="177" fontId="62" fillId="34" borderId="72" xfId="0" applyNumberFormat="1" applyFont="1" applyFill="1" applyBorder="1" applyAlignment="1" applyProtection="1">
      <alignment vertical="center"/>
      <protection locked="0"/>
    </xf>
    <xf numFmtId="177" fontId="62" fillId="33" borderId="92" xfId="0" applyNumberFormat="1" applyFont="1" applyFill="1" applyBorder="1" applyAlignment="1" applyProtection="1">
      <alignment vertical="center"/>
      <protection locked="0"/>
    </xf>
    <xf numFmtId="177" fontId="62" fillId="33" borderId="54" xfId="0" applyNumberFormat="1" applyFont="1" applyFill="1" applyBorder="1" applyAlignment="1" applyProtection="1">
      <alignment vertical="center"/>
      <protection locked="0"/>
    </xf>
    <xf numFmtId="177" fontId="62" fillId="34" borderId="54" xfId="0" applyNumberFormat="1" applyFont="1" applyFill="1" applyBorder="1" applyAlignment="1" applyProtection="1">
      <alignment vertical="center"/>
      <protection locked="0"/>
    </xf>
    <xf numFmtId="177" fontId="62" fillId="34" borderId="88" xfId="0" applyNumberFormat="1" applyFont="1" applyFill="1" applyBorder="1" applyAlignment="1" applyProtection="1">
      <alignment vertical="center"/>
      <protection locked="0"/>
    </xf>
    <xf numFmtId="177" fontId="62" fillId="34" borderId="182" xfId="0" applyNumberFormat="1" applyFont="1" applyFill="1" applyBorder="1" applyAlignment="1" applyProtection="1">
      <alignment vertical="center"/>
      <protection locked="0"/>
    </xf>
    <xf numFmtId="176" fontId="62" fillId="34" borderId="92" xfId="0" applyNumberFormat="1" applyFont="1" applyFill="1" applyBorder="1" applyAlignment="1" applyProtection="1">
      <alignment vertical="center"/>
      <protection locked="0"/>
    </xf>
    <xf numFmtId="176" fontId="62" fillId="34" borderId="54" xfId="0" applyNumberFormat="1" applyFont="1" applyFill="1" applyBorder="1" applyAlignment="1" applyProtection="1">
      <alignment vertical="center"/>
      <protection locked="0"/>
    </xf>
    <xf numFmtId="176" fontId="62" fillId="33" borderId="54" xfId="0" applyNumberFormat="1" applyFont="1" applyFill="1" applyBorder="1" applyAlignment="1" applyProtection="1">
      <alignment vertical="center"/>
      <protection locked="0"/>
    </xf>
    <xf numFmtId="176" fontId="62" fillId="34" borderId="88" xfId="0" applyNumberFormat="1" applyFont="1" applyFill="1" applyBorder="1" applyAlignment="1" applyProtection="1">
      <alignment vertical="center"/>
      <protection locked="0"/>
    </xf>
    <xf numFmtId="176" fontId="62" fillId="33" borderId="182" xfId="0" applyNumberFormat="1" applyFont="1" applyFill="1" applyBorder="1" applyAlignment="1" applyProtection="1">
      <alignment vertical="center"/>
      <protection locked="0"/>
    </xf>
    <xf numFmtId="176" fontId="62" fillId="33" borderId="92" xfId="0" applyNumberFormat="1" applyFont="1" applyFill="1" applyBorder="1" applyAlignment="1" applyProtection="1">
      <alignment vertical="center"/>
      <protection locked="0"/>
    </xf>
    <xf numFmtId="176" fontId="62" fillId="34" borderId="182" xfId="0" applyNumberFormat="1" applyFont="1" applyFill="1" applyBorder="1" applyAlignment="1" applyProtection="1">
      <alignment vertical="center"/>
      <protection locked="0"/>
    </xf>
    <xf numFmtId="177" fontId="62" fillId="33" borderId="31" xfId="0" applyNumberFormat="1" applyFont="1" applyFill="1" applyBorder="1" applyAlignment="1" applyProtection="1">
      <alignment vertical="center"/>
      <protection locked="0"/>
    </xf>
    <xf numFmtId="4" fontId="62" fillId="33" borderId="82" xfId="0" applyNumberFormat="1" applyFont="1" applyFill="1" applyBorder="1" applyAlignment="1" applyProtection="1">
      <alignment vertical="center"/>
      <protection locked="0"/>
    </xf>
    <xf numFmtId="4" fontId="62" fillId="33" borderId="52" xfId="0" applyNumberFormat="1" applyFont="1" applyFill="1" applyBorder="1" applyAlignment="1" applyProtection="1">
      <alignment vertical="center"/>
      <protection locked="0"/>
    </xf>
    <xf numFmtId="4" fontId="62" fillId="33" borderId="83" xfId="0" applyNumberFormat="1" applyFont="1" applyFill="1" applyBorder="1" applyAlignment="1" applyProtection="1">
      <alignment vertical="center"/>
      <protection locked="0"/>
    </xf>
    <xf numFmtId="4" fontId="62" fillId="33" borderId="53" xfId="0" applyNumberFormat="1" applyFont="1" applyFill="1" applyBorder="1" applyAlignment="1" applyProtection="1">
      <alignment vertical="center"/>
      <protection locked="0"/>
    </xf>
    <xf numFmtId="4" fontId="62" fillId="34" borderId="72" xfId="0" applyNumberFormat="1" applyFont="1" applyFill="1" applyBorder="1" applyAlignment="1" applyProtection="1">
      <alignment vertical="center"/>
      <protection locked="0"/>
    </xf>
    <xf numFmtId="4" fontId="62" fillId="34" borderId="48" xfId="0" applyNumberFormat="1" applyFont="1" applyFill="1" applyBorder="1" applyAlignment="1" applyProtection="1">
      <alignment vertical="center"/>
      <protection locked="0"/>
    </xf>
    <xf numFmtId="4" fontId="62" fillId="33" borderId="48" xfId="0" applyNumberFormat="1" applyFont="1" applyFill="1" applyBorder="1" applyAlignment="1" applyProtection="1">
      <alignment vertical="center"/>
      <protection locked="0"/>
    </xf>
    <xf numFmtId="4" fontId="62" fillId="34" borderId="76" xfId="0" applyNumberFormat="1" applyFont="1" applyFill="1" applyBorder="1" applyAlignment="1" applyProtection="1">
      <alignment vertical="center"/>
      <protection locked="0"/>
    </xf>
    <xf numFmtId="4" fontId="62" fillId="33" borderId="31" xfId="0" applyNumberFormat="1" applyFont="1" applyFill="1" applyBorder="1" applyAlignment="1" applyProtection="1">
      <alignment vertical="center"/>
      <protection locked="0"/>
    </xf>
    <xf numFmtId="4" fontId="62" fillId="33" borderId="72" xfId="0" applyNumberFormat="1" applyFont="1" applyFill="1" applyBorder="1" applyAlignment="1" applyProtection="1">
      <alignment vertical="center"/>
      <protection locked="0"/>
    </xf>
    <xf numFmtId="4" fontId="62" fillId="34" borderId="31" xfId="0" applyNumberFormat="1" applyFont="1" applyFill="1" applyBorder="1" applyAlignment="1" applyProtection="1">
      <alignment vertical="center"/>
      <protection locked="0"/>
    </xf>
    <xf numFmtId="4" fontId="62" fillId="33" borderId="72" xfId="224" applyNumberFormat="1" applyFont="1" applyFill="1" applyBorder="1" applyAlignment="1" applyProtection="1">
      <alignment vertical="center"/>
      <protection locked="0"/>
    </xf>
    <xf numFmtId="4" fontId="62" fillId="33" borderId="48" xfId="224" applyNumberFormat="1" applyFont="1" applyFill="1" applyBorder="1" applyAlignment="1" applyProtection="1">
      <alignment vertical="center"/>
      <protection locked="0"/>
    </xf>
    <xf numFmtId="4" fontId="62" fillId="34" borderId="48" xfId="224" applyNumberFormat="1" applyFont="1" applyFill="1" applyBorder="1" applyAlignment="1" applyProtection="1">
      <alignment vertical="center"/>
      <protection locked="0"/>
    </xf>
    <xf numFmtId="4" fontId="62" fillId="34" borderId="76" xfId="224" applyNumberFormat="1" applyFont="1" applyFill="1" applyBorder="1" applyAlignment="1" applyProtection="1">
      <alignment vertical="center"/>
      <protection locked="0"/>
    </xf>
    <xf numFmtId="4" fontId="62" fillId="34" borderId="31" xfId="224" applyNumberFormat="1" applyFont="1" applyFill="1" applyBorder="1" applyAlignment="1" applyProtection="1">
      <alignment vertical="center"/>
      <protection locked="0"/>
    </xf>
    <xf numFmtId="4" fontId="62" fillId="33" borderId="76" xfId="0" applyNumberFormat="1" applyFont="1" applyFill="1" applyBorder="1" applyAlignment="1" applyProtection="1">
      <alignment vertical="center"/>
      <protection locked="0"/>
    </xf>
    <xf numFmtId="4" fontId="62" fillId="34" borderId="92" xfId="0" applyNumberFormat="1" applyFont="1" applyFill="1" applyBorder="1" applyAlignment="1" applyProtection="1">
      <alignment vertical="center"/>
      <protection locked="0"/>
    </xf>
    <xf numFmtId="4" fontId="62" fillId="34" borderId="54" xfId="0" applyNumberFormat="1" applyFont="1" applyFill="1" applyBorder="1" applyAlignment="1" applyProtection="1">
      <alignment vertical="center"/>
      <protection locked="0"/>
    </xf>
    <xf numFmtId="4" fontId="62" fillId="34" borderId="88" xfId="0" applyNumberFormat="1" applyFont="1" applyFill="1" applyBorder="1" applyAlignment="1" applyProtection="1">
      <alignment vertical="center"/>
      <protection locked="0"/>
    </xf>
    <xf numFmtId="4" fontId="62" fillId="33" borderId="182" xfId="0" applyNumberFormat="1" applyFont="1" applyFill="1" applyBorder="1" applyAlignment="1" applyProtection="1">
      <alignment vertical="center"/>
      <protection locked="0"/>
    </xf>
    <xf numFmtId="4" fontId="62" fillId="34" borderId="78" xfId="0" applyNumberFormat="1" applyFont="1" applyFill="1" applyBorder="1" applyAlignment="1" applyProtection="1">
      <alignment vertical="center"/>
      <protection locked="0"/>
    </xf>
    <xf numFmtId="4" fontId="62" fillId="34" borderId="79" xfId="0" applyNumberFormat="1" applyFont="1" applyFill="1" applyBorder="1" applyAlignment="1" applyProtection="1">
      <alignment vertical="center"/>
      <protection locked="0"/>
    </xf>
    <xf numFmtId="4" fontId="62" fillId="33" borderId="79" xfId="0" applyNumberFormat="1" applyFont="1" applyFill="1" applyBorder="1" applyAlignment="1" applyProtection="1">
      <alignment vertical="center"/>
      <protection locked="0"/>
    </xf>
    <xf numFmtId="4" fontId="62" fillId="34" borderId="80" xfId="0" applyNumberFormat="1" applyFont="1" applyFill="1" applyBorder="1" applyAlignment="1" applyProtection="1">
      <alignment vertical="center"/>
      <protection locked="0"/>
    </xf>
    <xf numFmtId="4" fontId="62" fillId="34" borderId="35" xfId="0" applyNumberFormat="1" applyFont="1" applyFill="1" applyBorder="1" applyAlignment="1" applyProtection="1">
      <alignment vertical="center"/>
      <protection locked="0"/>
    </xf>
    <xf numFmtId="0" fontId="59" fillId="30" borderId="0" xfId="0" applyFont="1" applyFill="1" applyAlignment="1">
      <alignment horizontal="right" vertical="top"/>
    </xf>
    <xf numFmtId="0" fontId="59" fillId="30" borderId="0" xfId="0" applyFont="1" applyFill="1" applyAlignment="1">
      <alignment vertical="top"/>
    </xf>
    <xf numFmtId="0" fontId="59" fillId="30" borderId="0" xfId="0" applyFont="1" applyFill="1" applyAlignment="1">
      <alignment horizontal="right"/>
    </xf>
    <xf numFmtId="0" fontId="59" fillId="30" borderId="0" xfId="0" applyFont="1" applyFill="1" applyAlignment="1">
      <alignment horizontal="center"/>
    </xf>
    <xf numFmtId="0" fontId="59" fillId="30" borderId="0" xfId="0" applyFont="1" applyFill="1"/>
    <xf numFmtId="0" fontId="0" fillId="30" borderId="0" xfId="0" applyFill="1" applyAlignment="1">
      <alignment vertical="top"/>
    </xf>
    <xf numFmtId="0" fontId="0" fillId="30" borderId="0" xfId="0" applyFill="1" applyAlignment="1">
      <alignment horizontal="right"/>
    </xf>
    <xf numFmtId="0" fontId="59" fillId="30" borderId="144" xfId="0" applyFont="1" applyFill="1" applyBorder="1" applyAlignment="1">
      <alignment horizontal="center"/>
    </xf>
    <xf numFmtId="0" fontId="59" fillId="30" borderId="189" xfId="0" applyFont="1" applyFill="1" applyBorder="1" applyAlignment="1">
      <alignment horizontal="center" vertical="center"/>
    </xf>
    <xf numFmtId="0" fontId="59" fillId="30" borderId="196" xfId="0" applyFont="1" applyFill="1" applyBorder="1" applyAlignment="1">
      <alignment horizontal="center" vertical="center"/>
    </xf>
    <xf numFmtId="0" fontId="59" fillId="30" borderId="23" xfId="0" applyFont="1" applyFill="1" applyBorder="1" applyAlignment="1">
      <alignment horizontal="center" vertical="center"/>
    </xf>
    <xf numFmtId="0" fontId="59" fillId="30" borderId="196" xfId="0" applyFont="1" applyFill="1" applyBorder="1" applyAlignment="1">
      <alignment horizontal="center" vertical="center" wrapText="1"/>
    </xf>
    <xf numFmtId="0" fontId="59" fillId="30" borderId="195" xfId="0" applyFont="1" applyFill="1" applyBorder="1" applyAlignment="1">
      <alignment horizontal="center" vertical="center" wrapText="1"/>
    </xf>
    <xf numFmtId="0" fontId="59" fillId="30" borderId="194" xfId="0" applyFont="1" applyFill="1" applyBorder="1" applyAlignment="1">
      <alignment horizontal="center" vertical="center" wrapText="1"/>
    </xf>
    <xf numFmtId="0" fontId="59" fillId="30" borderId="140" xfId="0" applyFont="1" applyFill="1" applyBorder="1" applyAlignment="1">
      <alignment horizontal="right" vertical="top"/>
    </xf>
    <xf numFmtId="0" fontId="59" fillId="30" borderId="141" xfId="0" applyFont="1" applyFill="1" applyBorder="1" applyAlignment="1">
      <alignment vertical="top" wrapText="1"/>
    </xf>
    <xf numFmtId="0" fontId="59" fillId="30" borderId="141" xfId="0" applyFont="1" applyFill="1" applyBorder="1" applyAlignment="1">
      <alignment vertical="center" wrapText="1"/>
    </xf>
    <xf numFmtId="0" fontId="59" fillId="30" borderId="143" xfId="0" applyFont="1" applyFill="1" applyBorder="1" applyAlignment="1">
      <alignment horizontal="right" vertical="center" wrapText="1"/>
    </xf>
    <xf numFmtId="0" fontId="59" fillId="30" borderId="0" xfId="0" applyFont="1" applyFill="1" applyAlignment="1">
      <alignment vertical="center"/>
    </xf>
    <xf numFmtId="178" fontId="59" fillId="30" borderId="193" xfId="0" applyNumberFormat="1" applyFont="1" applyFill="1" applyBorder="1" applyAlignment="1">
      <alignment horizontal="right" vertical="center"/>
    </xf>
    <xf numFmtId="178" fontId="59" fillId="30" borderId="0" xfId="0" applyNumberFormat="1" applyFont="1" applyFill="1" applyAlignment="1">
      <alignment horizontal="right" vertical="center"/>
    </xf>
    <xf numFmtId="178" fontId="59" fillId="30" borderId="192" xfId="0" applyNumberFormat="1" applyFont="1" applyFill="1" applyBorder="1" applyAlignment="1">
      <alignment horizontal="right" vertical="center"/>
    </xf>
    <xf numFmtId="178" fontId="59" fillId="30" borderId="181" xfId="0" applyNumberFormat="1" applyFont="1" applyFill="1" applyBorder="1" applyAlignment="1">
      <alignment horizontal="right" vertical="center"/>
    </xf>
    <xf numFmtId="178" fontId="59" fillId="30" borderId="191" xfId="0" applyNumberFormat="1" applyFont="1" applyFill="1" applyBorder="1" applyAlignment="1">
      <alignment horizontal="right" vertical="center"/>
    </xf>
    <xf numFmtId="178" fontId="59" fillId="30" borderId="190" xfId="0" applyNumberFormat="1" applyFont="1" applyFill="1" applyBorder="1" applyAlignment="1">
      <alignment horizontal="right" vertical="center"/>
    </xf>
    <xf numFmtId="0" fontId="59" fillId="30" borderId="16" xfId="0" applyFont="1" applyFill="1" applyBorder="1" applyAlignment="1">
      <alignment horizontal="right" vertical="top"/>
    </xf>
    <xf numFmtId="0" fontId="78" fillId="30" borderId="0" xfId="0" applyFont="1" applyFill="1" applyAlignment="1">
      <alignment horizontal="left" vertical="center" wrapText="1"/>
    </xf>
    <xf numFmtId="178" fontId="78" fillId="30" borderId="193" xfId="0" applyNumberFormat="1" applyFont="1" applyFill="1" applyBorder="1" applyAlignment="1">
      <alignment horizontal="right" wrapText="1"/>
    </xf>
    <xf numFmtId="178" fontId="78" fillId="30" borderId="0" xfId="0" applyNumberFormat="1" applyFont="1" applyFill="1" applyAlignment="1">
      <alignment horizontal="right" wrapText="1"/>
    </xf>
    <xf numFmtId="178" fontId="78" fillId="30" borderId="192" xfId="0" applyNumberFormat="1" applyFont="1" applyFill="1" applyBorder="1" applyAlignment="1">
      <alignment horizontal="right" wrapText="1"/>
    </xf>
    <xf numFmtId="178" fontId="78" fillId="30" borderId="181" xfId="0" applyNumberFormat="1" applyFont="1" applyFill="1" applyBorder="1" applyAlignment="1">
      <alignment horizontal="right" wrapText="1"/>
    </xf>
    <xf numFmtId="178" fontId="78" fillId="30" borderId="191" xfId="0" applyNumberFormat="1" applyFont="1" applyFill="1" applyBorder="1" applyAlignment="1">
      <alignment horizontal="right" wrapText="1"/>
    </xf>
    <xf numFmtId="178" fontId="78" fillId="30" borderId="190" xfId="0" applyNumberFormat="1" applyFont="1" applyFill="1" applyBorder="1" applyAlignment="1">
      <alignment horizontal="right" wrapText="1"/>
    </xf>
    <xf numFmtId="0" fontId="0" fillId="30" borderId="181" xfId="0" applyFill="1" applyBorder="1" applyAlignment="1">
      <alignment horizontal="right" vertical="center"/>
    </xf>
    <xf numFmtId="178" fontId="63" fillId="30" borderId="193" xfId="268" applyNumberFormat="1" applyFont="1" applyFill="1" applyBorder="1" applyAlignment="1">
      <alignment horizontal="right"/>
    </xf>
    <xf numFmtId="178" fontId="0" fillId="30" borderId="192" xfId="0" applyNumberFormat="1" applyFill="1" applyBorder="1" applyAlignment="1">
      <alignment horizontal="right" vertical="center"/>
    </xf>
    <xf numFmtId="178" fontId="0" fillId="30" borderId="181" xfId="0" applyNumberFormat="1" applyFill="1" applyBorder="1" applyAlignment="1">
      <alignment horizontal="right" vertical="center"/>
    </xf>
    <xf numFmtId="178" fontId="0" fillId="30" borderId="193" xfId="0" applyNumberFormat="1" applyFill="1" applyBorder="1" applyAlignment="1">
      <alignment horizontal="right"/>
    </xf>
    <xf numFmtId="178" fontId="0" fillId="30" borderId="192" xfId="0" applyNumberFormat="1" applyFill="1" applyBorder="1" applyAlignment="1">
      <alignment horizontal="right"/>
    </xf>
    <xf numFmtId="178" fontId="0" fillId="30" borderId="191" xfId="0" applyNumberFormat="1" applyFill="1" applyBorder="1" applyAlignment="1">
      <alignment horizontal="right"/>
    </xf>
    <xf numFmtId="178" fontId="0" fillId="30" borderId="190" xfId="0" applyNumberFormat="1" applyFill="1" applyBorder="1" applyAlignment="1">
      <alignment horizontal="right"/>
    </xf>
    <xf numFmtId="0" fontId="0" fillId="30" borderId="0" xfId="0" applyFill="1" applyAlignment="1">
      <alignment horizontal="left" vertical="top"/>
    </xf>
    <xf numFmtId="0" fontId="0" fillId="30" borderId="181" xfId="0" applyFill="1" applyBorder="1" applyAlignment="1">
      <alignment horizontal="right"/>
    </xf>
    <xf numFmtId="2" fontId="0" fillId="30" borderId="191" xfId="0" applyNumberFormat="1" applyFill="1" applyBorder="1" applyAlignment="1">
      <alignment horizontal="right"/>
    </xf>
    <xf numFmtId="0" fontId="78" fillId="30" borderId="0" xfId="0" applyFont="1" applyFill="1" applyAlignment="1">
      <alignment vertical="top"/>
    </xf>
    <xf numFmtId="0" fontId="78" fillId="30" borderId="181" xfId="0" applyFont="1" applyFill="1" applyBorder="1" applyAlignment="1">
      <alignment vertical="top"/>
    </xf>
    <xf numFmtId="0" fontId="78" fillId="30" borderId="0" xfId="0" applyFont="1" applyFill="1" applyAlignment="1">
      <alignment horizontal="left" vertical="top"/>
    </xf>
    <xf numFmtId="178" fontId="0" fillId="30" borderId="181" xfId="0" applyNumberFormat="1" applyFill="1" applyBorder="1" applyAlignment="1">
      <alignment horizontal="right"/>
    </xf>
    <xf numFmtId="0" fontId="59" fillId="30" borderId="0" xfId="0" applyFont="1" applyFill="1" applyAlignment="1">
      <alignment vertical="center" wrapText="1"/>
    </xf>
    <xf numFmtId="0" fontId="59" fillId="30" borderId="181" xfId="0" applyFont="1" applyFill="1" applyBorder="1" applyAlignment="1">
      <alignment horizontal="right" vertical="center" wrapText="1"/>
    </xf>
    <xf numFmtId="0" fontId="0" fillId="30" borderId="16" xfId="0" applyFill="1" applyBorder="1"/>
    <xf numFmtId="2" fontId="0" fillId="30" borderId="193" xfId="0" applyNumberFormat="1" applyFill="1" applyBorder="1" applyAlignment="1">
      <alignment horizontal="right"/>
    </xf>
    <xf numFmtId="2" fontId="0" fillId="30" borderId="192" xfId="0" applyNumberFormat="1" applyFill="1" applyBorder="1" applyAlignment="1">
      <alignment horizontal="right" vertical="center"/>
    </xf>
    <xf numFmtId="2" fontId="0" fillId="30" borderId="181" xfId="0" applyNumberFormat="1" applyFill="1" applyBorder="1" applyAlignment="1">
      <alignment horizontal="right" vertical="center"/>
    </xf>
    <xf numFmtId="2" fontId="0" fillId="30" borderId="192" xfId="0" applyNumberFormat="1" applyFill="1" applyBorder="1" applyAlignment="1">
      <alignment horizontal="right"/>
    </xf>
    <xf numFmtId="2" fontId="0" fillId="30" borderId="190" xfId="0" applyNumberFormat="1" applyFill="1" applyBorder="1" applyAlignment="1">
      <alignment horizontal="right"/>
    </xf>
    <xf numFmtId="0" fontId="0" fillId="30" borderId="0" xfId="0" applyFill="1" applyAlignment="1">
      <alignment horizontal="left"/>
    </xf>
    <xf numFmtId="0" fontId="59" fillId="30" borderId="21" xfId="0" applyFont="1" applyFill="1" applyBorder="1" applyAlignment="1">
      <alignment horizontal="right" vertical="top"/>
    </xf>
    <xf numFmtId="0" fontId="59" fillId="30" borderId="22" xfId="0" applyFont="1" applyFill="1" applyBorder="1" applyAlignment="1">
      <alignment vertical="top" wrapText="1"/>
    </xf>
    <xf numFmtId="0" fontId="0" fillId="30" borderId="22" xfId="0" applyFill="1" applyBorder="1"/>
    <xf numFmtId="0" fontId="0" fillId="30" borderId="23" xfId="0" applyFill="1" applyBorder="1" applyAlignment="1">
      <alignment horizontal="right" vertical="center"/>
    </xf>
    <xf numFmtId="178" fontId="0" fillId="30" borderId="189" xfId="0" applyNumberFormat="1" applyFill="1" applyBorder="1" applyAlignment="1">
      <alignment horizontal="right"/>
    </xf>
    <xf numFmtId="178" fontId="0" fillId="30" borderId="188" xfId="0" applyNumberFormat="1" applyFill="1" applyBorder="1" applyAlignment="1">
      <alignment horizontal="right" vertical="center"/>
    </xf>
    <xf numFmtId="178" fontId="0" fillId="30" borderId="23" xfId="0" applyNumberFormat="1" applyFill="1" applyBorder="1" applyAlignment="1">
      <alignment horizontal="right" vertical="center"/>
    </xf>
    <xf numFmtId="178" fontId="0" fillId="30" borderId="188" xfId="0" applyNumberFormat="1" applyFill="1" applyBorder="1" applyAlignment="1">
      <alignment horizontal="right"/>
    </xf>
    <xf numFmtId="0" fontId="59" fillId="30" borderId="135" xfId="0" applyFont="1" applyFill="1" applyBorder="1" applyAlignment="1">
      <alignment horizontal="left" vertical="top"/>
    </xf>
    <xf numFmtId="0" fontId="80" fillId="30" borderId="0" xfId="0" applyFont="1" applyFill="1" applyAlignment="1">
      <alignment wrapText="1"/>
    </xf>
    <xf numFmtId="0" fontId="59" fillId="30" borderId="0" xfId="0" applyFont="1" applyFill="1" applyAlignment="1">
      <alignment horizontal="left" vertical="top"/>
    </xf>
    <xf numFmtId="0" fontId="59" fillId="30" borderId="136" xfId="0" applyFont="1" applyFill="1" applyBorder="1"/>
    <xf numFmtId="0" fontId="59" fillId="30" borderId="136" xfId="0" applyFont="1" applyFill="1" applyBorder="1" applyAlignment="1">
      <alignment horizontal="center" vertical="top"/>
    </xf>
    <xf numFmtId="0" fontId="59" fillId="30" borderId="142" xfId="0" applyFont="1" applyFill="1" applyBorder="1" applyAlignment="1">
      <alignment horizontal="left"/>
    </xf>
    <xf numFmtId="0" fontId="78" fillId="30" borderId="0" xfId="0" applyFont="1" applyFill="1"/>
    <xf numFmtId="0" fontId="0" fillId="30" borderId="0" xfId="0" applyFill="1" applyAlignment="1">
      <alignment horizontal="right" vertical="top"/>
    </xf>
    <xf numFmtId="0" fontId="59" fillId="30" borderId="140" xfId="0" applyFont="1" applyFill="1" applyBorder="1" applyAlignment="1">
      <alignment horizontal="left" vertical="top"/>
    </xf>
    <xf numFmtId="0" fontId="59" fillId="30" borderId="143" xfId="0" applyFont="1" applyFill="1" applyBorder="1" applyAlignment="1">
      <alignment horizontal="left" vertical="top"/>
    </xf>
    <xf numFmtId="0" fontId="59" fillId="30" borderId="141" xfId="0" applyFont="1" applyFill="1" applyBorder="1"/>
    <xf numFmtId="0" fontId="0" fillId="30" borderId="141" xfId="0" applyFill="1" applyBorder="1" applyAlignment="1">
      <alignment horizontal="right" vertical="center"/>
    </xf>
    <xf numFmtId="0" fontId="0" fillId="30" borderId="143" xfId="0" applyFill="1" applyBorder="1" applyAlignment="1">
      <alignment horizontal="left" vertical="center"/>
    </xf>
    <xf numFmtId="0" fontId="59" fillId="30" borderId="16" xfId="0" applyFont="1" applyFill="1" applyBorder="1" applyAlignment="1">
      <alignment horizontal="left" vertical="top"/>
    </xf>
    <xf numFmtId="0" fontId="0" fillId="30" borderId="181" xfId="0" applyFill="1" applyBorder="1" applyAlignment="1">
      <alignment horizontal="left" vertical="top"/>
    </xf>
    <xf numFmtId="178" fontId="0" fillId="30" borderId="0" xfId="0" applyNumberFormat="1" applyFill="1" applyAlignment="1">
      <alignment horizontal="right" vertical="center"/>
    </xf>
    <xf numFmtId="0" fontId="0" fillId="30" borderId="181" xfId="0" applyFill="1" applyBorder="1" applyAlignment="1">
      <alignment horizontal="left" vertical="center"/>
    </xf>
    <xf numFmtId="0" fontId="63" fillId="30" borderId="0" xfId="268" applyFont="1" applyFill="1"/>
    <xf numFmtId="0" fontId="0" fillId="30" borderId="181" xfId="0" applyFill="1" applyBorder="1" applyAlignment="1">
      <alignment horizontal="left" vertical="top" wrapText="1"/>
    </xf>
    <xf numFmtId="0" fontId="0" fillId="30" borderId="0" xfId="0" applyFill="1" applyAlignment="1">
      <alignment wrapText="1"/>
    </xf>
    <xf numFmtId="0" fontId="59" fillId="30" borderId="181" xfId="0" applyFont="1" applyFill="1" applyBorder="1" applyAlignment="1">
      <alignment horizontal="left" vertical="top"/>
    </xf>
    <xf numFmtId="2" fontId="0" fillId="30" borderId="0" xfId="0" applyNumberFormat="1" applyFill="1" applyAlignment="1">
      <alignment horizontal="right" vertical="center"/>
    </xf>
    <xf numFmtId="0" fontId="0" fillId="30" borderId="181" xfId="0" applyFill="1" applyBorder="1" applyAlignment="1">
      <alignment vertical="top"/>
    </xf>
    <xf numFmtId="0" fontId="57" fillId="30" borderId="181" xfId="0" applyFont="1" applyFill="1" applyBorder="1" applyAlignment="1">
      <alignment horizontal="left" vertical="center"/>
    </xf>
    <xf numFmtId="0" fontId="59" fillId="30" borderId="21" xfId="0" applyFont="1" applyFill="1" applyBorder="1" applyAlignment="1">
      <alignment horizontal="left" vertical="top"/>
    </xf>
    <xf numFmtId="0" fontId="59" fillId="30" borderId="23" xfId="0" applyFont="1" applyFill="1" applyBorder="1" applyAlignment="1">
      <alignment horizontal="left" vertical="top" wrapText="1"/>
    </xf>
    <xf numFmtId="0" fontId="59" fillId="30" borderId="22" xfId="0" applyFont="1" applyFill="1" applyBorder="1"/>
    <xf numFmtId="178" fontId="0" fillId="30" borderId="22" xfId="0" applyNumberFormat="1" applyFill="1" applyBorder="1" applyAlignment="1">
      <alignment horizontal="right" vertical="center"/>
    </xf>
    <xf numFmtId="0" fontId="0" fillId="30" borderId="23" xfId="0" applyFill="1" applyBorder="1" applyAlignment="1">
      <alignment horizontal="left" vertical="center"/>
    </xf>
    <xf numFmtId="0" fontId="59" fillId="30" borderId="0" xfId="0" applyFont="1" applyFill="1" applyAlignment="1">
      <alignment horizontal="left"/>
    </xf>
    <xf numFmtId="0" fontId="59" fillId="30" borderId="135" xfId="0" applyFont="1" applyFill="1" applyBorder="1"/>
    <xf numFmtId="0" fontId="59" fillId="30" borderId="136" xfId="0" applyFont="1" applyFill="1" applyBorder="1" applyAlignment="1">
      <alignment vertical="center"/>
    </xf>
    <xf numFmtId="0" fontId="59" fillId="30" borderId="136" xfId="0" applyFont="1" applyFill="1" applyBorder="1" applyAlignment="1">
      <alignment horizontal="left" vertical="top"/>
    </xf>
    <xf numFmtId="0" fontId="59" fillId="30" borderId="142" xfId="0" applyFont="1" applyFill="1" applyBorder="1" applyAlignment="1">
      <alignment horizontal="left" vertical="top"/>
    </xf>
    <xf numFmtId="0" fontId="59" fillId="30" borderId="0" xfId="0" applyFont="1" applyFill="1" applyAlignment="1">
      <alignment horizontal="center" vertical="top"/>
    </xf>
    <xf numFmtId="0" fontId="78" fillId="30" borderId="0" xfId="0" applyFont="1" applyFill="1" applyAlignment="1">
      <alignment vertical="center"/>
    </xf>
    <xf numFmtId="0" fontId="59" fillId="30" borderId="143" xfId="0" applyFont="1" applyFill="1" applyBorder="1" applyAlignment="1">
      <alignment horizontal="left" vertical="center"/>
    </xf>
    <xf numFmtId="178" fontId="0" fillId="30" borderId="0" xfId="0" applyNumberFormat="1" applyFill="1" applyAlignment="1">
      <alignment horizontal="right" vertical="top"/>
    </xf>
    <xf numFmtId="0" fontId="0" fillId="30" borderId="181" xfId="0" applyFill="1" applyBorder="1" applyAlignment="1">
      <alignment horizontal="left" vertical="center" wrapText="1"/>
    </xf>
    <xf numFmtId="0" fontId="59" fillId="30" borderId="181" xfId="0" applyFont="1" applyFill="1" applyBorder="1" applyAlignment="1">
      <alignment horizontal="left" vertical="center"/>
    </xf>
    <xf numFmtId="2" fontId="0" fillId="30" borderId="0" xfId="0" applyNumberFormat="1" applyFill="1" applyAlignment="1">
      <alignment horizontal="right" vertical="top"/>
    </xf>
    <xf numFmtId="0" fontId="0" fillId="30" borderId="181" xfId="0" applyFill="1" applyBorder="1" applyAlignment="1">
      <alignment horizontal="left" wrapText="1"/>
    </xf>
    <xf numFmtId="0" fontId="57" fillId="30" borderId="181" xfId="0" applyFont="1" applyFill="1" applyBorder="1" applyAlignment="1">
      <alignment horizontal="left" vertical="top"/>
    </xf>
    <xf numFmtId="0" fontId="0" fillId="30" borderId="181" xfId="0" applyFill="1" applyBorder="1" applyAlignment="1">
      <alignment wrapText="1"/>
    </xf>
    <xf numFmtId="0" fontId="59" fillId="30" borderId="23" xfId="0" applyFont="1" applyFill="1" applyBorder="1" applyAlignment="1">
      <alignment horizontal="left" vertical="center" wrapText="1"/>
    </xf>
    <xf numFmtId="178" fontId="0" fillId="30" borderId="22" xfId="0" applyNumberFormat="1" applyFill="1" applyBorder="1" applyAlignment="1">
      <alignment horizontal="right" vertical="top"/>
    </xf>
    <xf numFmtId="0" fontId="0" fillId="30" borderId="23" xfId="0" applyFill="1" applyBorder="1" applyAlignment="1">
      <alignment horizontal="left" vertical="top"/>
    </xf>
    <xf numFmtId="0" fontId="59" fillId="30" borderId="135" xfId="0" applyFont="1" applyFill="1" applyBorder="1" applyAlignment="1">
      <alignment vertical="top"/>
    </xf>
    <xf numFmtId="0" fontId="59" fillId="30" borderId="0" xfId="0" applyFont="1" applyFill="1" applyAlignment="1">
      <alignment horizontal="left" vertical="center"/>
    </xf>
    <xf numFmtId="0" fontId="0" fillId="30" borderId="141" xfId="0" applyFill="1" applyBorder="1" applyAlignment="1">
      <alignment horizontal="right" vertical="top"/>
    </xf>
    <xf numFmtId="0" fontId="0" fillId="30" borderId="143" xfId="0" applyFill="1" applyBorder="1" applyAlignment="1">
      <alignment horizontal="left" vertical="top"/>
    </xf>
    <xf numFmtId="0" fontId="0" fillId="30" borderId="181" xfId="0" applyFill="1" applyBorder="1" applyAlignment="1">
      <alignment vertical="center"/>
    </xf>
    <xf numFmtId="0" fontId="59" fillId="30" borderId="136" xfId="0" applyFont="1" applyFill="1" applyBorder="1" applyAlignment="1">
      <alignment vertical="top"/>
    </xf>
    <xf numFmtId="0" fontId="59" fillId="30" borderId="136" xfId="0" applyFont="1" applyFill="1" applyBorder="1" applyAlignment="1">
      <alignment horizontal="center"/>
    </xf>
    <xf numFmtId="0" fontId="59" fillId="30" borderId="141" xfId="0" applyFont="1" applyFill="1" applyBorder="1" applyAlignment="1">
      <alignment horizontal="left" vertical="center"/>
    </xf>
    <xf numFmtId="0" fontId="59" fillId="30" borderId="140" xfId="0" applyFont="1" applyFill="1" applyBorder="1"/>
    <xf numFmtId="0" fontId="0" fillId="30" borderId="16" xfId="0" applyFill="1" applyBorder="1" applyAlignment="1">
      <alignment wrapText="1"/>
    </xf>
    <xf numFmtId="0" fontId="59" fillId="30" borderId="16" xfId="0" applyFont="1" applyFill="1" applyBorder="1"/>
    <xf numFmtId="0" fontId="0" fillId="30" borderId="16" xfId="0" applyFill="1" applyBorder="1" applyAlignment="1">
      <alignment horizontal="left" vertical="center" wrapText="1"/>
    </xf>
    <xf numFmtId="0" fontId="78" fillId="30" borderId="16" xfId="0" applyFont="1" applyFill="1" applyBorder="1"/>
    <xf numFmtId="0" fontId="59" fillId="30" borderId="22" xfId="0" applyFont="1" applyFill="1" applyBorder="1" applyAlignment="1">
      <alignment horizontal="left" vertical="center" wrapText="1"/>
    </xf>
    <xf numFmtId="0" fontId="59" fillId="30" borderId="21" xfId="0" applyFont="1" applyFill="1" applyBorder="1"/>
    <xf numFmtId="0" fontId="0" fillId="30" borderId="181" xfId="0" applyFill="1" applyBorder="1" applyAlignment="1">
      <alignment vertical="center" wrapText="1"/>
    </xf>
    <xf numFmtId="0" fontId="0" fillId="30" borderId="0" xfId="0" applyFill="1" applyBorder="1" applyAlignment="1">
      <alignment horizontal="right" vertical="top"/>
    </xf>
    <xf numFmtId="0" fontId="59" fillId="30" borderId="0" xfId="0" applyFont="1" applyFill="1" applyBorder="1"/>
    <xf numFmtId="178" fontId="0" fillId="30" borderId="0" xfId="0" applyNumberFormat="1" applyFill="1" applyBorder="1" applyAlignment="1">
      <alignment horizontal="right" vertical="top"/>
    </xf>
    <xf numFmtId="0" fontId="78" fillId="30" borderId="0" xfId="0" applyFont="1" applyFill="1" applyBorder="1"/>
    <xf numFmtId="178" fontId="0" fillId="30" borderId="141" xfId="0" applyNumberFormat="1" applyFill="1" applyBorder="1" applyAlignment="1">
      <alignment horizontal="right" vertical="top"/>
    </xf>
    <xf numFmtId="2" fontId="0" fillId="30" borderId="0" xfId="0" applyNumberFormat="1" applyFill="1" applyBorder="1" applyAlignment="1">
      <alignment horizontal="right" vertical="top"/>
    </xf>
    <xf numFmtId="0" fontId="78" fillId="30" borderId="22" xfId="0" applyFont="1" applyFill="1" applyBorder="1"/>
    <xf numFmtId="0" fontId="57" fillId="30" borderId="23" xfId="0" applyFont="1" applyFill="1" applyBorder="1" applyAlignment="1">
      <alignment horizontal="left" vertical="top"/>
    </xf>
    <xf numFmtId="0" fontId="0" fillId="30" borderId="0" xfId="0" applyFill="1" applyAlignment="1">
      <alignment vertical="top" wrapText="1"/>
    </xf>
    <xf numFmtId="0" fontId="59" fillId="30" borderId="0" xfId="0" applyFont="1" applyFill="1" applyAlignment="1">
      <alignment vertical="top" wrapText="1"/>
    </xf>
    <xf numFmtId="0" fontId="59" fillId="30" borderId="135" xfId="0" applyFont="1" applyFill="1" applyBorder="1" applyAlignment="1">
      <alignment vertical="center"/>
    </xf>
    <xf numFmtId="0" fontId="0" fillId="30" borderId="136" xfId="0" applyFill="1" applyBorder="1" applyAlignment="1">
      <alignment vertical="top" wrapText="1"/>
    </xf>
    <xf numFmtId="0" fontId="59" fillId="30" borderId="136" xfId="0" applyFont="1" applyFill="1" applyBorder="1" applyAlignment="1">
      <alignment horizontal="center" vertical="center"/>
    </xf>
    <xf numFmtId="0" fontId="59" fillId="30" borderId="142" xfId="0" applyFont="1" applyFill="1" applyBorder="1" applyAlignment="1">
      <alignment horizontal="left" vertical="center"/>
    </xf>
    <xf numFmtId="0" fontId="59" fillId="30" borderId="143" xfId="0" applyFont="1" applyFill="1" applyBorder="1" applyAlignment="1">
      <alignment horizontal="left" vertical="top" wrapText="1"/>
    </xf>
    <xf numFmtId="0" fontId="59" fillId="30" borderId="181" xfId="0" applyFont="1" applyFill="1" applyBorder="1" applyAlignment="1">
      <alignment horizontal="left" vertical="top" wrapText="1"/>
    </xf>
    <xf numFmtId="0" fontId="0" fillId="30" borderId="23" xfId="0" applyFill="1" applyBorder="1" applyAlignment="1">
      <alignment vertical="center" wrapText="1"/>
    </xf>
    <xf numFmtId="0" fontId="59" fillId="30" borderId="136" xfId="0" applyFont="1" applyFill="1" applyBorder="1" applyAlignment="1">
      <alignment vertical="top" wrapText="1"/>
    </xf>
    <xf numFmtId="0" fontId="59" fillId="30" borderId="143" xfId="0" applyFont="1" applyFill="1" applyBorder="1" applyAlignment="1">
      <alignment vertical="top" wrapText="1"/>
    </xf>
    <xf numFmtId="0" fontId="0" fillId="30" borderId="181" xfId="0" applyFill="1" applyBorder="1" applyAlignment="1">
      <alignment vertical="top" wrapText="1"/>
    </xf>
    <xf numFmtId="0" fontId="59" fillId="30" borderId="181" xfId="0" applyFont="1" applyFill="1" applyBorder="1" applyAlignment="1">
      <alignment vertical="top" wrapText="1"/>
    </xf>
    <xf numFmtId="0" fontId="59" fillId="30" borderId="23" xfId="0" applyFont="1" applyFill="1" applyBorder="1" applyAlignment="1">
      <alignment vertical="top" wrapText="1"/>
    </xf>
    <xf numFmtId="0" fontId="59" fillId="30" borderId="140" xfId="0" applyFont="1" applyFill="1" applyBorder="1" applyAlignment="1">
      <alignment vertical="top"/>
    </xf>
    <xf numFmtId="0" fontId="59" fillId="30" borderId="23" xfId="0" applyFont="1" applyFill="1" applyBorder="1" applyAlignment="1">
      <alignment horizontal="left" vertical="top"/>
    </xf>
    <xf numFmtId="0" fontId="59" fillId="30" borderId="16" xfId="0" applyFont="1" applyFill="1" applyBorder="1" applyAlignment="1">
      <alignment vertical="top"/>
    </xf>
    <xf numFmtId="0" fontId="59" fillId="30" borderId="21" xfId="0" applyFont="1" applyFill="1" applyBorder="1" applyAlignment="1">
      <alignment vertical="top"/>
    </xf>
    <xf numFmtId="0" fontId="0" fillId="30" borderId="0" xfId="0" applyFill="1" applyAlignment="1">
      <alignment horizontal="center" vertical="top"/>
    </xf>
    <xf numFmtId="0" fontId="59" fillId="30" borderId="135" xfId="0" applyFont="1" applyFill="1" applyBorder="1" applyAlignment="1">
      <alignment horizontal="left" vertical="center" wrapText="1"/>
    </xf>
    <xf numFmtId="0" fontId="59" fillId="30" borderId="135" xfId="0" applyFont="1" applyFill="1" applyBorder="1" applyAlignment="1">
      <alignment horizontal="left" vertical="center"/>
    </xf>
    <xf numFmtId="0" fontId="78" fillId="30" borderId="0" xfId="0" applyFont="1" applyFill="1" applyAlignment="1">
      <alignment horizontal="left" vertical="center"/>
    </xf>
    <xf numFmtId="0" fontId="59" fillId="30" borderId="140" xfId="0" applyFont="1" applyFill="1" applyBorder="1" applyAlignment="1">
      <alignment horizontal="left" vertical="center"/>
    </xf>
    <xf numFmtId="0" fontId="0" fillId="30" borderId="143" xfId="0" applyFill="1" applyBorder="1" applyAlignment="1">
      <alignment vertical="top"/>
    </xf>
    <xf numFmtId="0" fontId="78" fillId="30" borderId="16" xfId="0" applyFont="1" applyFill="1" applyBorder="1" applyAlignment="1">
      <alignment horizontal="left" vertical="center" wrapText="1"/>
    </xf>
    <xf numFmtId="178" fontId="78" fillId="30" borderId="0" xfId="0" applyNumberFormat="1" applyFont="1" applyFill="1" applyAlignment="1">
      <alignment horizontal="right" vertical="top"/>
    </xf>
    <xf numFmtId="0" fontId="78" fillId="30" borderId="0" xfId="0" applyFont="1" applyFill="1" applyAlignment="1">
      <alignment horizontal="right" vertical="top"/>
    </xf>
    <xf numFmtId="0" fontId="0" fillId="30" borderId="21" xfId="0" applyFill="1" applyBorder="1" applyAlignment="1">
      <alignment horizontal="left" vertical="top" wrapText="1"/>
    </xf>
    <xf numFmtId="2" fontId="78" fillId="30" borderId="22" xfId="0" applyNumberFormat="1" applyFont="1" applyFill="1" applyBorder="1" applyAlignment="1">
      <alignment horizontal="right" vertical="top"/>
    </xf>
    <xf numFmtId="0" fontId="0" fillId="30" borderId="23" xfId="0" applyFill="1" applyBorder="1" applyAlignment="1">
      <alignment vertical="top"/>
    </xf>
    <xf numFmtId="4" fontId="0" fillId="30" borderId="104" xfId="0" applyNumberFormat="1" applyFill="1" applyBorder="1"/>
    <xf numFmtId="4" fontId="0" fillId="30" borderId="30" xfId="0" applyNumberFormat="1" applyFill="1" applyBorder="1"/>
    <xf numFmtId="4" fontId="0" fillId="30" borderId="72" xfId="0" applyNumberFormat="1" applyFill="1" applyBorder="1"/>
    <xf numFmtId="4" fontId="0" fillId="30" borderId="76" xfId="0" applyNumberFormat="1" applyFill="1" applyBorder="1"/>
    <xf numFmtId="4" fontId="0" fillId="30" borderId="48" xfId="0" applyNumberFormat="1" applyFill="1" applyBorder="1"/>
    <xf numFmtId="4" fontId="0" fillId="30" borderId="71" xfId="0" applyNumberFormat="1" applyFill="1" applyBorder="1"/>
    <xf numFmtId="4" fontId="0" fillId="30" borderId="14" xfId="0" applyNumberFormat="1" applyFill="1" applyBorder="1"/>
    <xf numFmtId="4" fontId="0" fillId="30" borderId="180" xfId="0" applyNumberFormat="1" applyFill="1" applyBorder="1"/>
    <xf numFmtId="4" fontId="0" fillId="30" borderId="63" xfId="0" applyNumberFormat="1" applyFill="1" applyBorder="1"/>
    <xf numFmtId="4" fontId="0" fillId="32" borderId="30" xfId="0" applyNumberFormat="1" applyFill="1" applyBorder="1"/>
    <xf numFmtId="4" fontId="0" fillId="32" borderId="72" xfId="0" applyNumberFormat="1" applyFill="1" applyBorder="1"/>
    <xf numFmtId="4" fontId="0" fillId="32" borderId="48" xfId="0" applyNumberFormat="1" applyFill="1" applyBorder="1"/>
    <xf numFmtId="4" fontId="0" fillId="32" borderId="63" xfId="0" applyNumberFormat="1" applyFill="1" applyBorder="1"/>
    <xf numFmtId="4" fontId="0" fillId="30" borderId="146" xfId="0" applyNumberFormat="1" applyFill="1" applyBorder="1"/>
    <xf numFmtId="4" fontId="0" fillId="30" borderId="89" xfId="0" applyNumberFormat="1" applyFill="1" applyBorder="1"/>
    <xf numFmtId="4" fontId="0" fillId="30" borderId="92" xfId="0" applyNumberFormat="1" applyFill="1" applyBorder="1"/>
    <xf numFmtId="4" fontId="0" fillId="30" borderId="88" xfId="0" applyNumberFormat="1" applyFill="1" applyBorder="1"/>
    <xf numFmtId="4" fontId="0" fillId="30" borderId="54" xfId="0" applyNumberFormat="1" applyFill="1" applyBorder="1"/>
    <xf numFmtId="4" fontId="0" fillId="30" borderId="139" xfId="0" applyNumberFormat="1" applyFill="1" applyBorder="1"/>
    <xf numFmtId="4" fontId="0" fillId="30" borderId="157" xfId="0" applyNumberFormat="1" applyFill="1" applyBorder="1"/>
    <xf numFmtId="4" fontId="0" fillId="30" borderId="138" xfId="0" applyNumberFormat="1" applyFill="1" applyBorder="1"/>
    <xf numFmtId="4" fontId="0" fillId="30" borderId="74" xfId="0" applyNumberFormat="1" applyFill="1" applyBorder="1"/>
    <xf numFmtId="4" fontId="0" fillId="30" borderId="136" xfId="0" applyNumberFormat="1" applyFill="1" applyBorder="1"/>
    <xf numFmtId="4" fontId="0" fillId="30" borderId="50" xfId="0" applyNumberFormat="1" applyFill="1" applyBorder="1"/>
    <xf numFmtId="4" fontId="0" fillId="30" borderId="158" xfId="0" applyNumberFormat="1" applyFill="1" applyBorder="1"/>
    <xf numFmtId="4" fontId="0" fillId="30" borderId="137" xfId="0" applyNumberFormat="1" applyFill="1" applyBorder="1"/>
    <xf numFmtId="4" fontId="0" fillId="30" borderId="142" xfId="0" applyNumberFormat="1" applyFill="1" applyBorder="1"/>
    <xf numFmtId="0" fontId="0" fillId="30" borderId="0" xfId="0" applyFill="1" applyAlignment="1">
      <alignment horizontal="left" vertical="center"/>
    </xf>
    <xf numFmtId="179" fontId="0" fillId="33" borderId="144" xfId="0" applyNumberFormat="1" applyFill="1" applyBorder="1" applyAlignment="1" applyProtection="1">
      <alignment horizontal="center" vertical="center"/>
      <protection locked="0"/>
    </xf>
    <xf numFmtId="176" fontId="0" fillId="33" borderId="19" xfId="0" applyNumberFormat="1" applyFill="1" applyBorder="1" applyAlignment="1" applyProtection="1">
      <alignment horizontal="center" vertical="center"/>
      <protection locked="0"/>
    </xf>
    <xf numFmtId="177" fontId="0" fillId="30" borderId="107" xfId="0" applyNumberFormat="1" applyFill="1" applyBorder="1" applyAlignment="1" applyProtection="1">
      <alignment horizontal="right" vertical="center"/>
      <protection locked="0"/>
    </xf>
    <xf numFmtId="177" fontId="0" fillId="30" borderId="83" xfId="0" applyNumberFormat="1" applyFill="1" applyBorder="1" applyAlignment="1" applyProtection="1">
      <alignment horizontal="right" vertical="center"/>
      <protection locked="0"/>
    </xf>
    <xf numFmtId="177" fontId="0" fillId="30" borderId="85" xfId="0" applyNumberFormat="1" applyFill="1" applyBorder="1" applyAlignment="1" applyProtection="1">
      <alignment horizontal="right" vertical="center"/>
      <protection locked="0"/>
    </xf>
    <xf numFmtId="177" fontId="0" fillId="30" borderId="86" xfId="0" applyNumberFormat="1" applyFill="1" applyBorder="1" applyAlignment="1" applyProtection="1">
      <alignment horizontal="right" vertical="center"/>
      <protection locked="0"/>
    </xf>
    <xf numFmtId="177" fontId="0" fillId="30" borderId="78" xfId="0" applyNumberFormat="1" applyFill="1" applyBorder="1" applyAlignment="1" applyProtection="1">
      <alignment horizontal="right" vertical="center"/>
      <protection locked="0"/>
    </xf>
    <xf numFmtId="177" fontId="0" fillId="30" borderId="80" xfId="0" applyNumberFormat="1" applyFill="1" applyBorder="1" applyAlignment="1" applyProtection="1">
      <alignment horizontal="right" vertical="center"/>
      <protection locked="0"/>
    </xf>
    <xf numFmtId="177" fontId="0" fillId="30" borderId="79" xfId="0" applyNumberFormat="1" applyFill="1" applyBorder="1" applyAlignment="1" applyProtection="1">
      <alignment horizontal="right" vertical="center"/>
      <protection locked="0"/>
    </xf>
    <xf numFmtId="4" fontId="0" fillId="30" borderId="167" xfId="0" applyNumberFormat="1" applyFill="1" applyBorder="1"/>
    <xf numFmtId="4" fontId="0" fillId="30" borderId="169" xfId="0" applyNumberFormat="1" applyFill="1" applyBorder="1"/>
    <xf numFmtId="0" fontId="0" fillId="30" borderId="69" xfId="0" applyFill="1" applyBorder="1" applyAlignment="1">
      <alignment horizontal="center" vertical="center" wrapText="1"/>
    </xf>
    <xf numFmtId="4" fontId="0" fillId="40" borderId="76" xfId="0" applyNumberFormat="1" applyFill="1" applyBorder="1" applyProtection="1">
      <protection locked="0"/>
    </xf>
    <xf numFmtId="4" fontId="0" fillId="42" borderId="88" xfId="0" applyNumberFormat="1" applyFill="1" applyBorder="1" applyProtection="1"/>
    <xf numFmtId="4" fontId="0" fillId="42" borderId="100" xfId="0" applyNumberFormat="1" applyFill="1" applyBorder="1" applyProtection="1"/>
    <xf numFmtId="4" fontId="0" fillId="33" borderId="88" xfId="0" applyNumberFormat="1" applyFill="1" applyBorder="1" applyProtection="1">
      <protection locked="0"/>
    </xf>
    <xf numFmtId="4" fontId="0" fillId="32" borderId="84" xfId="0" applyNumberFormat="1" applyFill="1" applyBorder="1" applyAlignment="1" applyProtection="1">
      <alignment vertical="center" wrapText="1"/>
    </xf>
    <xf numFmtId="4" fontId="0" fillId="32" borderId="30" xfId="0" applyNumberFormat="1" applyFill="1" applyBorder="1" applyAlignment="1" applyProtection="1">
      <alignment vertical="center" wrapText="1"/>
    </xf>
    <xf numFmtId="4" fontId="0" fillId="30" borderId="30" xfId="0" applyNumberFormat="1" applyFill="1" applyBorder="1" applyAlignment="1" applyProtection="1">
      <alignment vertical="center" wrapText="1"/>
    </xf>
    <xf numFmtId="4" fontId="0" fillId="32" borderId="30" xfId="0" applyNumberFormat="1" applyFill="1" applyBorder="1" applyProtection="1"/>
    <xf numFmtId="4" fontId="0" fillId="32" borderId="89" xfId="0" applyNumberFormat="1" applyFill="1" applyBorder="1" applyProtection="1"/>
    <xf numFmtId="4" fontId="65" fillId="30" borderId="207" xfId="0" applyNumberFormat="1" applyFont="1" applyFill="1" applyBorder="1" applyProtection="1"/>
    <xf numFmtId="4" fontId="65" fillId="30" borderId="208" xfId="0" applyNumberFormat="1" applyFont="1" applyFill="1" applyBorder="1" applyProtection="1"/>
    <xf numFmtId="4" fontId="65" fillId="30" borderId="209" xfId="0" applyNumberFormat="1" applyFont="1" applyFill="1" applyBorder="1" applyProtection="1"/>
    <xf numFmtId="4" fontId="65" fillId="32" borderId="207" xfId="0" applyNumberFormat="1" applyFont="1" applyFill="1" applyBorder="1" applyProtection="1"/>
    <xf numFmtId="0" fontId="65" fillId="30" borderId="130" xfId="0" applyFont="1" applyFill="1" applyBorder="1" applyAlignment="1">
      <alignment horizontal="center" vertical="center"/>
    </xf>
    <xf numFmtId="0" fontId="65" fillId="30" borderId="210" xfId="0" applyFont="1" applyFill="1" applyBorder="1" applyAlignment="1">
      <alignment horizontal="center" vertical="center"/>
    </xf>
    <xf numFmtId="0" fontId="65" fillId="30" borderId="211" xfId="0" applyFont="1" applyFill="1" applyBorder="1" applyAlignment="1">
      <alignment horizontal="center" vertical="center"/>
    </xf>
    <xf numFmtId="0" fontId="65" fillId="30" borderId="134" xfId="0" applyFont="1" applyFill="1" applyBorder="1" applyAlignment="1">
      <alignment horizontal="left" vertical="center"/>
    </xf>
    <xf numFmtId="176" fontId="65" fillId="30" borderId="212" xfId="0" applyNumberFormat="1" applyFont="1" applyFill="1" applyBorder="1" applyAlignment="1">
      <alignment horizontal="center" vertical="center"/>
    </xf>
    <xf numFmtId="176" fontId="65" fillId="30" borderId="213" xfId="0" applyNumberFormat="1" applyFont="1" applyFill="1" applyBorder="1" applyAlignment="1">
      <alignment horizontal="center" vertical="center"/>
    </xf>
    <xf numFmtId="176" fontId="65" fillId="30" borderId="214" xfId="0" applyNumberFormat="1" applyFont="1" applyFill="1" applyBorder="1" applyAlignment="1">
      <alignment horizontal="center" vertical="center"/>
    </xf>
    <xf numFmtId="176" fontId="65" fillId="30" borderId="215" xfId="0" applyNumberFormat="1" applyFont="1" applyFill="1" applyBorder="1" applyAlignment="1">
      <alignment horizontal="center" vertical="center"/>
    </xf>
    <xf numFmtId="176" fontId="65" fillId="30" borderId="216" xfId="0" applyNumberFormat="1" applyFont="1" applyFill="1" applyBorder="1" applyAlignment="1">
      <alignment horizontal="center" vertical="center"/>
    </xf>
    <xf numFmtId="176" fontId="65" fillId="30" borderId="217" xfId="0" applyNumberFormat="1" applyFont="1" applyFill="1" applyBorder="1" applyAlignment="1">
      <alignment horizontal="center" vertical="center"/>
    </xf>
    <xf numFmtId="176" fontId="65" fillId="30" borderId="218" xfId="0" applyNumberFormat="1" applyFont="1" applyFill="1" applyBorder="1" applyAlignment="1">
      <alignment horizontal="center" vertical="center"/>
    </xf>
    <xf numFmtId="176" fontId="65" fillId="30" borderId="219" xfId="0" applyNumberFormat="1" applyFont="1" applyFill="1" applyBorder="1" applyAlignment="1">
      <alignment horizontal="center" vertical="center"/>
    </xf>
    <xf numFmtId="0" fontId="0" fillId="30" borderId="19" xfId="0" applyNumberFormat="1" applyFill="1" applyBorder="1"/>
    <xf numFmtId="4" fontId="0" fillId="34" borderId="83" xfId="0" applyNumberFormat="1" applyFill="1" applyBorder="1" applyAlignment="1" applyProtection="1">
      <alignment vertical="center" wrapText="1"/>
      <protection locked="0"/>
    </xf>
    <xf numFmtId="0" fontId="59" fillId="30" borderId="144" xfId="0" applyFont="1" applyFill="1" applyBorder="1" applyAlignment="1">
      <alignment horizontal="center" wrapText="1"/>
    </xf>
    <xf numFmtId="0" fontId="59" fillId="30" borderId="144" xfId="0" applyFont="1" applyFill="1" applyBorder="1" applyAlignment="1">
      <alignment horizontal="center" vertical="center" wrapText="1"/>
    </xf>
    <xf numFmtId="9" fontId="88" fillId="30" borderId="19" xfId="0" applyNumberFormat="1" applyFont="1" applyFill="1" applyBorder="1" applyAlignment="1" applyProtection="1">
      <alignment horizontal="center" vertical="center"/>
    </xf>
    <xf numFmtId="0" fontId="89" fillId="30" borderId="0" xfId="0" applyFont="1" applyFill="1" applyAlignment="1" applyProtection="1">
      <alignment vertical="center"/>
    </xf>
    <xf numFmtId="0" fontId="0" fillId="30" borderId="181" xfId="0" applyFill="1" applyBorder="1" applyAlignment="1">
      <alignment horizontal="left" vertical="center"/>
    </xf>
    <xf numFmtId="0" fontId="65" fillId="30" borderId="181" xfId="0" applyFont="1" applyFill="1" applyBorder="1" applyAlignment="1">
      <alignment horizontal="right" vertical="center"/>
    </xf>
    <xf numFmtId="178" fontId="90" fillId="30" borderId="193" xfId="268" applyNumberFormat="1" applyFont="1" applyFill="1" applyBorder="1" applyAlignment="1">
      <alignment horizontal="right"/>
    </xf>
    <xf numFmtId="178" fontId="65" fillId="30" borderId="192" xfId="0" applyNumberFormat="1" applyFont="1" applyFill="1" applyBorder="1" applyAlignment="1">
      <alignment horizontal="right" vertical="center"/>
    </xf>
    <xf numFmtId="178" fontId="65" fillId="30" borderId="181" xfId="0" applyNumberFormat="1" applyFont="1" applyFill="1" applyBorder="1" applyAlignment="1">
      <alignment horizontal="right" vertical="center"/>
    </xf>
    <xf numFmtId="178" fontId="65" fillId="30" borderId="193" xfId="0" applyNumberFormat="1" applyFont="1" applyFill="1" applyBorder="1" applyAlignment="1">
      <alignment horizontal="right"/>
    </xf>
    <xf numFmtId="0" fontId="65" fillId="30" borderId="0" xfId="0" applyFont="1" applyFill="1" applyAlignment="1">
      <alignment horizontal="right" vertical="center"/>
    </xf>
    <xf numFmtId="178" fontId="65" fillId="30" borderId="192" xfId="0" applyNumberFormat="1" applyFont="1" applyFill="1" applyBorder="1" applyAlignment="1">
      <alignment horizontal="right"/>
    </xf>
    <xf numFmtId="0" fontId="0" fillId="30" borderId="0" xfId="0" applyFill="1" applyAlignment="1" applyProtection="1">
      <alignment vertical="top"/>
      <protection locked="0"/>
    </xf>
    <xf numFmtId="0" fontId="0" fillId="30" borderId="0" xfId="0" applyFill="1" applyProtection="1">
      <protection locked="0"/>
    </xf>
    <xf numFmtId="0" fontId="62" fillId="30" borderId="0" xfId="0" applyFont="1" applyFill="1" applyAlignment="1" applyProtection="1">
      <alignment horizontal="right" vertical="top"/>
      <protection locked="0"/>
    </xf>
    <xf numFmtId="0" fontId="62" fillId="30" borderId="0" xfId="0" applyFont="1" applyFill="1" applyAlignment="1" applyProtection="1">
      <alignment vertical="top"/>
      <protection locked="0"/>
    </xf>
    <xf numFmtId="0" fontId="62" fillId="30" borderId="0" xfId="0" applyFont="1" applyFill="1" applyProtection="1">
      <protection locked="0"/>
    </xf>
    <xf numFmtId="0" fontId="62" fillId="30" borderId="0" xfId="0" applyFont="1" applyFill="1" applyAlignment="1" applyProtection="1">
      <alignment horizontal="right"/>
      <protection locked="0"/>
    </xf>
    <xf numFmtId="0" fontId="62" fillId="30" borderId="0" xfId="0" applyFont="1" applyFill="1" applyAlignment="1" applyProtection="1">
      <alignment horizontal="center" vertical="center"/>
      <protection locked="0"/>
    </xf>
    <xf numFmtId="178" fontId="65" fillId="30" borderId="0" xfId="0" applyNumberFormat="1" applyFont="1" applyFill="1" applyAlignment="1">
      <alignment horizontal="right" vertical="center"/>
    </xf>
    <xf numFmtId="0" fontId="65" fillId="30" borderId="181" xfId="0" applyFont="1" applyFill="1" applyBorder="1" applyAlignment="1">
      <alignment horizontal="left" vertical="center"/>
    </xf>
    <xf numFmtId="0" fontId="65" fillId="30" borderId="181" xfId="0" applyFont="1" applyFill="1" applyBorder="1" applyAlignment="1">
      <alignment horizontal="right" vertical="top"/>
    </xf>
    <xf numFmtId="0" fontId="62" fillId="30" borderId="0" xfId="0" applyFont="1" applyFill="1" applyAlignment="1" applyProtection="1">
      <alignment horizontal="left" vertical="top"/>
      <protection locked="0"/>
    </xf>
    <xf numFmtId="0" fontId="62" fillId="30" borderId="0" xfId="0" applyFont="1" applyFill="1" applyAlignment="1" applyProtection="1">
      <alignment horizontal="left"/>
      <protection locked="0"/>
    </xf>
    <xf numFmtId="0" fontId="75" fillId="30" borderId="0" xfId="0" applyFont="1" applyFill="1" applyAlignment="1" applyProtection="1">
      <alignment vertical="top"/>
      <protection locked="0"/>
    </xf>
    <xf numFmtId="0" fontId="75" fillId="30" borderId="0" xfId="0" applyFont="1" applyFill="1" applyProtection="1">
      <protection locked="0"/>
    </xf>
    <xf numFmtId="178" fontId="65" fillId="30" borderId="0" xfId="0" applyNumberFormat="1" applyFont="1" applyFill="1" applyAlignment="1">
      <alignment horizontal="right" vertical="top"/>
    </xf>
    <xf numFmtId="0" fontId="65" fillId="30" borderId="181" xfId="0" applyFont="1" applyFill="1" applyBorder="1" applyAlignment="1">
      <alignment horizontal="left" vertical="top"/>
    </xf>
    <xf numFmtId="0" fontId="62" fillId="30" borderId="0" xfId="0" applyFont="1" applyFill="1" applyAlignment="1" applyProtection="1">
      <alignment vertical="center"/>
      <protection locked="0"/>
    </xf>
    <xf numFmtId="0" fontId="75" fillId="30" borderId="0" xfId="0" applyFont="1" applyFill="1" applyAlignment="1" applyProtection="1">
      <alignment vertical="center"/>
      <protection locked="0"/>
    </xf>
    <xf numFmtId="0" fontId="59" fillId="30" borderId="0" xfId="0" applyFont="1" applyFill="1" applyAlignment="1" applyProtection="1">
      <alignment horizontal="left" vertical="top"/>
      <protection locked="0"/>
    </xf>
    <xf numFmtId="0" fontId="59" fillId="30" borderId="0" xfId="0" applyFont="1" applyFill="1" applyAlignment="1" applyProtection="1">
      <alignment vertical="center"/>
      <protection locked="0"/>
    </xf>
    <xf numFmtId="0" fontId="59" fillId="30" borderId="0" xfId="0" applyFont="1" applyFill="1" applyProtection="1">
      <protection locked="0"/>
    </xf>
    <xf numFmtId="0" fontId="0" fillId="30" borderId="0" xfId="0" applyFill="1" applyAlignment="1" applyProtection="1">
      <alignment horizontal="left" vertical="top"/>
      <protection locked="0"/>
    </xf>
    <xf numFmtId="0" fontId="0" fillId="30" borderId="0" xfId="0" applyFill="1" applyAlignment="1" applyProtection="1">
      <alignment vertical="center"/>
      <protection locked="0"/>
    </xf>
    <xf numFmtId="166" fontId="0" fillId="30" borderId="0" xfId="0" applyNumberFormat="1" applyFill="1" applyAlignment="1" applyProtection="1">
      <alignment horizontal="right" vertical="top"/>
      <protection locked="0"/>
    </xf>
    <xf numFmtId="166" fontId="0" fillId="30" borderId="0" xfId="0" applyNumberFormat="1" applyFill="1" applyAlignment="1" applyProtection="1">
      <alignment horizontal="right" vertical="center"/>
      <protection locked="0"/>
    </xf>
    <xf numFmtId="166" fontId="0" fillId="30" borderId="193" xfId="0" applyNumberFormat="1" applyFill="1" applyBorder="1" applyAlignment="1" applyProtection="1">
      <alignment horizontal="right"/>
      <protection locked="0"/>
    </xf>
    <xf numFmtId="166" fontId="0" fillId="30" borderId="192" xfId="0" applyNumberFormat="1" applyFill="1" applyBorder="1" applyAlignment="1" applyProtection="1">
      <alignment horizontal="right" vertical="center"/>
      <protection locked="0"/>
    </xf>
    <xf numFmtId="166" fontId="0" fillId="30" borderId="181" xfId="0" applyNumberFormat="1" applyFill="1" applyBorder="1" applyAlignment="1" applyProtection="1">
      <alignment horizontal="right" vertical="center"/>
      <protection locked="0"/>
    </xf>
    <xf numFmtId="0" fontId="59" fillId="30" borderId="16" xfId="0" applyFont="1" applyFill="1" applyBorder="1" applyAlignment="1" applyProtection="1">
      <alignment horizontal="left" vertical="top"/>
      <protection locked="0"/>
    </xf>
    <xf numFmtId="0" fontId="0" fillId="30" borderId="0" xfId="0" applyFill="1" applyAlignment="1" applyProtection="1">
      <alignment vertical="top" wrapText="1"/>
      <protection locked="0"/>
    </xf>
    <xf numFmtId="0" fontId="59" fillId="30" borderId="0" xfId="0" applyFont="1" applyFill="1" applyAlignment="1" applyProtection="1">
      <alignment vertical="top" wrapText="1"/>
      <protection locked="0"/>
    </xf>
    <xf numFmtId="0" fontId="59" fillId="30" borderId="0" xfId="0" applyFont="1" applyFill="1" applyAlignment="1" applyProtection="1">
      <alignment vertical="top"/>
      <protection locked="0"/>
    </xf>
    <xf numFmtId="0" fontId="78" fillId="30" borderId="0" xfId="0" applyFont="1" applyFill="1" applyAlignment="1" applyProtection="1">
      <alignment vertical="center"/>
      <protection locked="0"/>
    </xf>
    <xf numFmtId="0" fontId="78" fillId="30" borderId="0" xfId="0" applyFont="1" applyFill="1" applyProtection="1">
      <protection locked="0"/>
    </xf>
    <xf numFmtId="0" fontId="2" fillId="30" borderId="0" xfId="224" applyFill="1" applyProtection="1"/>
    <xf numFmtId="0" fontId="2" fillId="30" borderId="141" xfId="224" applyFill="1" applyBorder="1" applyProtection="1"/>
    <xf numFmtId="0" fontId="2" fillId="30" borderId="22" xfId="224" applyFill="1" applyBorder="1" applyProtection="1"/>
    <xf numFmtId="0" fontId="3" fillId="30" borderId="135" xfId="224" applyFont="1" applyFill="1" applyBorder="1" applyAlignment="1" applyProtection="1">
      <alignment horizontal="center"/>
    </xf>
    <xf numFmtId="0" fontId="3" fillId="30" borderId="57" xfId="224" applyFont="1" applyFill="1" applyBorder="1" applyAlignment="1" applyProtection="1">
      <alignment horizontal="center"/>
    </xf>
    <xf numFmtId="0" fontId="3" fillId="30" borderId="50" xfId="224" applyFont="1" applyFill="1" applyBorder="1" applyAlignment="1" applyProtection="1">
      <alignment horizontal="center"/>
    </xf>
    <xf numFmtId="0" fontId="3" fillId="30" borderId="136" xfId="224" applyFont="1" applyFill="1" applyBorder="1" applyAlignment="1" applyProtection="1">
      <alignment horizontal="center"/>
    </xf>
    <xf numFmtId="0" fontId="3" fillId="30" borderId="58" xfId="224" applyFont="1" applyFill="1" applyBorder="1" applyAlignment="1" applyProtection="1">
      <alignment horizontal="center"/>
    </xf>
    <xf numFmtId="0" fontId="3" fillId="30" borderId="47" xfId="224" applyFont="1" applyFill="1" applyBorder="1" applyAlignment="1" applyProtection="1">
      <alignment horizontal="center"/>
    </xf>
    <xf numFmtId="0" fontId="3" fillId="30" borderId="142" xfId="224" applyFont="1" applyFill="1" applyBorder="1" applyAlignment="1" applyProtection="1">
      <alignment horizontal="center"/>
    </xf>
    <xf numFmtId="0" fontId="3" fillId="30" borderId="140" xfId="224" applyFont="1" applyFill="1" applyBorder="1" applyAlignment="1" applyProtection="1">
      <alignment horizontal="center" vertical="center"/>
    </xf>
    <xf numFmtId="0" fontId="3" fillId="30" borderId="151" xfId="224" applyFont="1" applyFill="1" applyBorder="1" applyAlignment="1" applyProtection="1">
      <alignment horizontal="center" vertical="center"/>
    </xf>
    <xf numFmtId="0" fontId="3" fillId="30" borderId="15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174"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59" xfId="224" applyFont="1" applyFill="1" applyBorder="1" applyAlignment="1" applyProtection="1">
      <alignment horizontal="center" vertical="center"/>
    </xf>
    <xf numFmtId="0" fontId="3" fillId="30" borderId="60" xfId="224" applyFont="1" applyFill="1" applyBorder="1" applyAlignment="1" applyProtection="1">
      <alignment horizontal="center" vertical="center"/>
    </xf>
    <xf numFmtId="0" fontId="3" fillId="30" borderId="61" xfId="224" applyFont="1" applyFill="1" applyBorder="1" applyAlignment="1" applyProtection="1">
      <alignment horizontal="center" vertical="center"/>
    </xf>
    <xf numFmtId="0" fontId="3" fillId="30" borderId="62" xfId="224" applyFont="1" applyFill="1" applyBorder="1" applyAlignment="1" applyProtection="1">
      <alignment horizontal="center" vertical="center"/>
    </xf>
    <xf numFmtId="0" fontId="3" fillId="30" borderId="23" xfId="224" applyFont="1" applyFill="1" applyBorder="1" applyAlignment="1" applyProtection="1">
      <alignment horizontal="center" vertical="center"/>
    </xf>
    <xf numFmtId="0" fontId="3" fillId="30" borderId="27" xfId="224" applyFont="1" applyFill="1" applyBorder="1" applyProtection="1"/>
    <xf numFmtId="0" fontId="2" fillId="30" borderId="28" xfId="224" applyFill="1" applyBorder="1" applyProtection="1"/>
    <xf numFmtId="0" fontId="2" fillId="30" borderId="198" xfId="224" applyFill="1" applyBorder="1" applyProtection="1"/>
    <xf numFmtId="0" fontId="2" fillId="30" borderId="199" xfId="224" applyFill="1" applyBorder="1" applyProtection="1"/>
    <xf numFmtId="0" fontId="2" fillId="30" borderId="51" xfId="224" applyFill="1" applyBorder="1" applyProtection="1"/>
    <xf numFmtId="0" fontId="2" fillId="30" borderId="37" xfId="224" applyFill="1" applyBorder="1" applyProtection="1"/>
    <xf numFmtId="0" fontId="3" fillId="30" borderId="27" xfId="224" applyFont="1" applyFill="1" applyBorder="1" applyAlignment="1" applyProtection="1">
      <alignment horizontal="right"/>
    </xf>
    <xf numFmtId="0" fontId="3" fillId="30" borderId="28" xfId="224" applyFont="1" applyFill="1" applyBorder="1" applyProtection="1"/>
    <xf numFmtId="0" fontId="3" fillId="30" borderId="198" xfId="224" applyFont="1" applyFill="1" applyBorder="1" applyProtection="1"/>
    <xf numFmtId="0" fontId="2" fillId="30" borderId="27" xfId="224" applyFill="1" applyBorder="1" applyProtection="1"/>
    <xf numFmtId="0" fontId="2" fillId="30" borderId="28" xfId="224" applyFill="1" applyBorder="1" applyAlignment="1" applyProtection="1">
      <alignment horizontal="right"/>
    </xf>
    <xf numFmtId="3" fontId="38" fillId="30" borderId="198" xfId="263" applyNumberFormat="1" applyFont="1" applyFill="1" applyBorder="1" applyAlignment="1" applyProtection="1">
      <alignment horizontal="right"/>
    </xf>
    <xf numFmtId="2" fontId="2" fillId="30" borderId="199" xfId="224" applyNumberFormat="1" applyFill="1" applyBorder="1" applyProtection="1"/>
    <xf numFmtId="2" fontId="2" fillId="30" borderId="51" xfId="224" applyNumberFormat="1" applyFill="1" applyBorder="1" applyProtection="1"/>
    <xf numFmtId="2" fontId="2" fillId="32" borderId="199" xfId="224" applyNumberFormat="1" applyFill="1" applyBorder="1" applyProtection="1"/>
    <xf numFmtId="2" fontId="2" fillId="32" borderId="28" xfId="224" applyNumberFormat="1" applyFill="1" applyBorder="1" applyProtection="1"/>
    <xf numFmtId="2" fontId="2" fillId="32" borderId="198" xfId="224" applyNumberFormat="1" applyFill="1" applyBorder="1" applyProtection="1"/>
    <xf numFmtId="178" fontId="2" fillId="30" borderId="199" xfId="224" applyNumberFormat="1" applyFill="1" applyBorder="1" applyProtection="1"/>
    <xf numFmtId="178" fontId="2" fillId="30" borderId="51" xfId="224" applyNumberFormat="1" applyFill="1" applyBorder="1" applyProtection="1"/>
    <xf numFmtId="178" fontId="2" fillId="30" borderId="28" xfId="224" applyNumberFormat="1" applyFill="1" applyBorder="1" applyProtection="1"/>
    <xf numFmtId="178" fontId="2" fillId="30" borderId="198" xfId="224" applyNumberFormat="1" applyFill="1" applyBorder="1" applyProtection="1"/>
    <xf numFmtId="178" fontId="2" fillId="32" borderId="199" xfId="224" applyNumberFormat="1" applyFill="1" applyBorder="1" applyProtection="1"/>
    <xf numFmtId="178" fontId="2" fillId="32" borderId="51" xfId="224" applyNumberFormat="1" applyFill="1" applyBorder="1" applyProtection="1"/>
    <xf numFmtId="178" fontId="2" fillId="32" borderId="198" xfId="224" applyNumberFormat="1" applyFill="1" applyBorder="1" applyProtection="1"/>
    <xf numFmtId="4" fontId="2" fillId="30" borderId="199" xfId="224" applyNumberFormat="1" applyFill="1" applyBorder="1" applyProtection="1"/>
    <xf numFmtId="4" fontId="2" fillId="30" borderId="51" xfId="224" applyNumberFormat="1" applyFill="1" applyBorder="1" applyProtection="1"/>
    <xf numFmtId="4" fontId="2" fillId="30" borderId="28" xfId="224" applyNumberFormat="1" applyFill="1" applyBorder="1" applyProtection="1"/>
    <xf numFmtId="4" fontId="2" fillId="30" borderId="198" xfId="224" applyNumberFormat="1" applyFill="1" applyBorder="1" applyProtection="1"/>
    <xf numFmtId="0" fontId="3" fillId="30" borderId="0" xfId="224" applyFont="1" applyFill="1" applyProtection="1"/>
    <xf numFmtId="166" fontId="2" fillId="32" borderId="15" xfId="263" applyNumberFormat="1" applyFill="1" applyBorder="1" applyProtection="1"/>
    <xf numFmtId="166" fontId="2" fillId="32" borderId="48" xfId="263" applyNumberFormat="1" applyFill="1" applyBorder="1" applyProtection="1"/>
    <xf numFmtId="166" fontId="2" fillId="32" borderId="40" xfId="263" applyNumberFormat="1" applyFill="1" applyBorder="1" applyProtection="1"/>
    <xf numFmtId="166" fontId="2" fillId="32" borderId="39" xfId="263" applyNumberFormat="1" applyFill="1" applyBorder="1" applyProtection="1"/>
    <xf numFmtId="166" fontId="2" fillId="32" borderId="55" xfId="263" applyNumberFormat="1" applyFill="1" applyBorder="1" applyProtection="1"/>
    <xf numFmtId="0" fontId="2" fillId="30" borderId="198" xfId="224" applyFill="1" applyBorder="1" applyAlignment="1" applyProtection="1">
      <alignment horizontal="right"/>
    </xf>
    <xf numFmtId="0" fontId="3" fillId="30" borderId="28" xfId="224" applyFont="1" applyFill="1" applyBorder="1" applyAlignment="1" applyProtection="1">
      <alignment wrapText="1"/>
    </xf>
    <xf numFmtId="4" fontId="2" fillId="30" borderId="40" xfId="224" applyNumberFormat="1" applyFill="1" applyBorder="1" applyProtection="1"/>
    <xf numFmtId="166" fontId="2" fillId="30" borderId="15" xfId="263" applyNumberFormat="1" applyFill="1" applyBorder="1" applyProtection="1"/>
    <xf numFmtId="166" fontId="2" fillId="30" borderId="48" xfId="263" applyNumberFormat="1" applyFill="1" applyBorder="1" applyProtection="1"/>
    <xf numFmtId="166" fontId="2" fillId="30" borderId="40" xfId="263" applyNumberFormat="1" applyFill="1" applyBorder="1" applyProtection="1"/>
    <xf numFmtId="0" fontId="3" fillId="30" borderId="27" xfId="224" applyFont="1" applyFill="1" applyBorder="1" applyAlignment="1" applyProtection="1">
      <alignment vertical="center"/>
    </xf>
    <xf numFmtId="0" fontId="3" fillId="30" borderId="27" xfId="224" applyFont="1" applyFill="1" applyBorder="1" applyAlignment="1" applyProtection="1">
      <alignment horizontal="right" vertical="center"/>
    </xf>
    <xf numFmtId="0" fontId="3" fillId="30" borderId="14" xfId="224" applyFont="1" applyFill="1" applyBorder="1" applyAlignment="1" applyProtection="1">
      <alignment vertical="center"/>
    </xf>
    <xf numFmtId="3" fontId="38" fillId="30" borderId="198" xfId="263" applyNumberFormat="1" applyFont="1" applyFill="1" applyBorder="1" applyAlignment="1" applyProtection="1">
      <alignment horizontal="right" vertical="center"/>
    </xf>
    <xf numFmtId="166" fontId="2" fillId="32" borderId="15" xfId="263" applyNumberFormat="1" applyFill="1" applyBorder="1" applyAlignment="1" applyProtection="1">
      <alignment vertical="center"/>
    </xf>
    <xf numFmtId="166" fontId="2" fillId="32" borderId="48" xfId="263" applyNumberFormat="1" applyFill="1" applyBorder="1" applyAlignment="1" applyProtection="1">
      <alignment vertical="center"/>
    </xf>
    <xf numFmtId="166" fontId="2" fillId="32" borderId="40" xfId="263" applyNumberFormat="1" applyFill="1" applyBorder="1" applyAlignment="1" applyProtection="1">
      <alignment vertical="center"/>
    </xf>
    <xf numFmtId="166" fontId="2" fillId="32" borderId="39" xfId="263" applyNumberFormat="1" applyFill="1" applyBorder="1" applyAlignment="1" applyProtection="1">
      <alignment vertical="center"/>
    </xf>
    <xf numFmtId="166" fontId="2" fillId="32" borderId="55" xfId="263" applyNumberFormat="1" applyFill="1" applyBorder="1" applyAlignment="1" applyProtection="1">
      <alignment vertical="center"/>
    </xf>
    <xf numFmtId="0" fontId="3" fillId="30" borderId="28" xfId="224" applyFont="1" applyFill="1" applyBorder="1" applyAlignment="1" applyProtection="1">
      <alignment vertical="center"/>
    </xf>
    <xf numFmtId="0" fontId="3" fillId="30" borderId="32" xfId="224" applyFont="1" applyFill="1" applyBorder="1" applyAlignment="1" applyProtection="1">
      <alignment horizontal="right" vertical="center"/>
    </xf>
    <xf numFmtId="166" fontId="2" fillId="30" borderId="15" xfId="263" applyNumberFormat="1" applyFill="1" applyBorder="1" applyAlignment="1" applyProtection="1">
      <alignment vertical="center"/>
    </xf>
    <xf numFmtId="166" fontId="2" fillId="30" borderId="48" xfId="263" applyNumberFormat="1" applyFill="1" applyBorder="1" applyAlignment="1" applyProtection="1">
      <alignment vertical="center"/>
    </xf>
    <xf numFmtId="166" fontId="2" fillId="30" borderId="40" xfId="263" applyNumberFormat="1" applyFill="1" applyBorder="1" applyAlignment="1" applyProtection="1">
      <alignment vertical="center"/>
    </xf>
    <xf numFmtId="166" fontId="2" fillId="30" borderId="39" xfId="263" applyNumberFormat="1" applyFill="1" applyBorder="1" applyAlignment="1" applyProtection="1">
      <alignment vertical="center"/>
    </xf>
    <xf numFmtId="0" fontId="3" fillId="30" borderId="15" xfId="224" applyFont="1" applyFill="1" applyBorder="1" applyAlignment="1" applyProtection="1">
      <alignment horizontal="right" vertical="center"/>
    </xf>
    <xf numFmtId="0" fontId="3" fillId="30" borderId="28" xfId="224" applyFont="1" applyFill="1" applyBorder="1" applyAlignment="1" applyProtection="1">
      <alignment vertical="center" wrapText="1"/>
    </xf>
    <xf numFmtId="0" fontId="2" fillId="30" borderId="0" xfId="224" applyFill="1" applyAlignment="1" applyProtection="1">
      <alignment vertical="top"/>
    </xf>
    <xf numFmtId="0" fontId="2" fillId="30" borderId="21" xfId="224" applyFill="1" applyBorder="1" applyProtection="1"/>
    <xf numFmtId="0" fontId="2" fillId="30" borderId="23" xfId="224" applyFill="1" applyBorder="1" applyAlignment="1" applyProtection="1">
      <alignment horizontal="right"/>
    </xf>
    <xf numFmtId="4" fontId="82" fillId="30" borderId="197" xfId="224" applyNumberFormat="1" applyFont="1" applyFill="1" applyBorder="1" applyProtection="1"/>
    <xf numFmtId="4" fontId="82" fillId="30" borderId="61" xfId="224" applyNumberFormat="1" applyFont="1" applyFill="1" applyBorder="1" applyProtection="1"/>
    <xf numFmtId="4" fontId="82" fillId="30" borderId="22" xfId="224" applyNumberFormat="1" applyFont="1" applyFill="1" applyBorder="1" applyProtection="1"/>
    <xf numFmtId="4" fontId="82" fillId="30" borderId="23" xfId="224" applyNumberFormat="1" applyFont="1" applyFill="1" applyBorder="1" applyProtection="1"/>
    <xf numFmtId="0" fontId="2" fillId="30" borderId="16" xfId="224" applyFill="1" applyBorder="1" applyProtection="1"/>
    <xf numFmtId="0" fontId="2" fillId="30" borderId="201" xfId="224" applyFill="1" applyBorder="1" applyProtection="1"/>
    <xf numFmtId="4" fontId="2" fillId="30" borderId="201" xfId="224" applyNumberFormat="1" applyFill="1" applyBorder="1" applyProtection="1"/>
    <xf numFmtId="166" fontId="2" fillId="30" borderId="202" xfId="263" applyNumberFormat="1" applyFill="1" applyBorder="1" applyProtection="1"/>
    <xf numFmtId="4" fontId="2" fillId="30" borderId="202" xfId="263" applyNumberFormat="1" applyFill="1" applyBorder="1" applyAlignment="1" applyProtection="1"/>
    <xf numFmtId="4" fontId="82" fillId="30" borderId="189" xfId="224" applyNumberFormat="1" applyFont="1" applyFill="1" applyBorder="1" applyProtection="1"/>
    <xf numFmtId="0" fontId="5" fillId="37" borderId="0" xfId="224" applyFont="1" applyFill="1" applyAlignment="1" applyProtection="1">
      <alignment horizontal="center" vertical="center"/>
    </xf>
    <xf numFmtId="0" fontId="3" fillId="30" borderId="66"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93" xfId="1" applyFont="1" applyFill="1" applyBorder="1" applyAlignment="1" applyProtection="1">
      <alignment horizontal="left" vertical="center"/>
    </xf>
    <xf numFmtId="0" fontId="2" fillId="0" borderId="0" xfId="224" applyAlignment="1" applyProtection="1">
      <alignment horizontal="left" vertical="center" wrapText="1"/>
    </xf>
    <xf numFmtId="0" fontId="3" fillId="31" borderId="25" xfId="263" applyNumberFormat="1" applyFont="1" applyFill="1" applyBorder="1" applyAlignment="1" applyProtection="1">
      <alignment horizontal="center" vertical="center"/>
      <protection locked="0"/>
    </xf>
    <xf numFmtId="0" fontId="3" fillId="31" borderId="26" xfId="263" applyNumberFormat="1" applyFont="1" applyFill="1" applyBorder="1" applyAlignment="1" applyProtection="1">
      <alignment horizontal="center" vertical="center"/>
      <protection locked="0"/>
    </xf>
    <xf numFmtId="0" fontId="3" fillId="31" borderId="20" xfId="263" applyNumberFormat="1" applyFont="1" applyFill="1" applyBorder="1" applyAlignment="1" applyProtection="1">
      <alignment horizontal="center" vertical="center"/>
      <protection locked="0"/>
    </xf>
    <xf numFmtId="0" fontId="0" fillId="30" borderId="0" xfId="0" applyFill="1" applyAlignment="1" applyProtection="1">
      <alignment horizontal="left" vertical="top" wrapText="1"/>
    </xf>
    <xf numFmtId="0" fontId="0" fillId="30" borderId="0" xfId="0" applyFill="1" applyAlignment="1" applyProtection="1">
      <alignment horizontal="left" vertical="center"/>
    </xf>
    <xf numFmtId="0" fontId="65" fillId="30" borderId="0" xfId="0" applyFont="1" applyFill="1" applyAlignment="1" applyProtection="1">
      <alignment horizontal="left" vertical="center"/>
    </xf>
    <xf numFmtId="0" fontId="0" fillId="30" borderId="24" xfId="0" applyFill="1" applyBorder="1" applyAlignment="1" applyProtection="1">
      <alignment horizontal="left" vertical="center"/>
    </xf>
    <xf numFmtId="0" fontId="0" fillId="30" borderId="0" xfId="0" applyFill="1" applyAlignment="1" applyProtection="1">
      <alignment horizontal="left" vertical="center" wrapText="1"/>
    </xf>
    <xf numFmtId="0" fontId="66" fillId="30" borderId="25" xfId="0" applyFont="1" applyFill="1" applyBorder="1" applyAlignment="1" applyProtection="1">
      <alignment horizontal="center" vertical="center"/>
    </xf>
    <xf numFmtId="0" fontId="66" fillId="30" borderId="26" xfId="0" applyFont="1" applyFill="1" applyBorder="1" applyAlignment="1" applyProtection="1">
      <alignment horizontal="center" vertical="center"/>
    </xf>
    <xf numFmtId="0" fontId="66" fillId="30" borderId="136" xfId="0" applyFont="1" applyFill="1" applyBorder="1" applyAlignment="1" applyProtection="1">
      <alignment horizontal="center" vertical="center"/>
    </xf>
    <xf numFmtId="0" fontId="66" fillId="30" borderId="20" xfId="0" applyFont="1" applyFill="1" applyBorder="1" applyAlignment="1" applyProtection="1">
      <alignment horizontal="center" vertical="center"/>
    </xf>
    <xf numFmtId="0" fontId="42" fillId="30" borderId="25" xfId="258" applyFont="1" applyFill="1" applyBorder="1" applyAlignment="1" applyProtection="1">
      <alignment horizontal="center" vertical="center"/>
    </xf>
    <xf numFmtId="0" fontId="42" fillId="30" borderId="26" xfId="258" applyFont="1" applyFill="1" applyBorder="1" applyAlignment="1" applyProtection="1">
      <alignment horizontal="center" vertical="center"/>
    </xf>
    <xf numFmtId="0" fontId="42" fillId="30" borderId="20" xfId="258" applyFont="1" applyFill="1" applyBorder="1" applyAlignment="1" applyProtection="1">
      <alignment horizontal="center" vertical="center"/>
    </xf>
    <xf numFmtId="0" fontId="0" fillId="30" borderId="84" xfId="0" applyFill="1" applyBorder="1" applyAlignment="1">
      <alignment horizontal="center" vertical="center"/>
    </xf>
    <xf numFmtId="0" fontId="0" fillId="30" borderId="160" xfId="0" applyFill="1" applyBorder="1" applyAlignment="1">
      <alignment horizontal="center" vertical="center"/>
    </xf>
    <xf numFmtId="0" fontId="34" fillId="30" borderId="135" xfId="258" applyFont="1" applyFill="1" applyBorder="1" applyAlignment="1" applyProtection="1">
      <alignment horizontal="center" vertical="center"/>
    </xf>
    <xf numFmtId="0" fontId="34" fillId="30" borderId="136" xfId="258" applyFont="1" applyFill="1" applyBorder="1" applyAlignment="1" applyProtection="1">
      <alignment horizontal="center" vertical="center"/>
    </xf>
    <xf numFmtId="0" fontId="0" fillId="30" borderId="152" xfId="0" applyFill="1" applyBorder="1" applyAlignment="1">
      <alignment horizontal="center" vertical="center"/>
    </xf>
    <xf numFmtId="0" fontId="0" fillId="30" borderId="141" xfId="0" applyFill="1" applyBorder="1" applyAlignment="1">
      <alignment horizontal="center" vertical="center"/>
    </xf>
    <xf numFmtId="0" fontId="0" fillId="30" borderId="143" xfId="0" applyFill="1" applyBorder="1" applyAlignment="1">
      <alignment horizontal="center" vertical="center"/>
    </xf>
    <xf numFmtId="0" fontId="0" fillId="30" borderId="147" xfId="0" applyFill="1" applyBorder="1" applyAlignment="1">
      <alignment horizontal="center" vertical="center"/>
    </xf>
    <xf numFmtId="0" fontId="0" fillId="30" borderId="104" xfId="0" applyFill="1" applyBorder="1" applyAlignment="1">
      <alignment horizontal="center" vertical="center"/>
    </xf>
    <xf numFmtId="0" fontId="0" fillId="30" borderId="75" xfId="0" applyFill="1" applyBorder="1" applyAlignment="1">
      <alignment horizontal="center" vertical="center"/>
    </xf>
    <xf numFmtId="0" fontId="65" fillId="30" borderId="0" xfId="0" applyFont="1" applyFill="1" applyAlignment="1" applyProtection="1">
      <alignment horizontal="center" vertical="center"/>
    </xf>
    <xf numFmtId="0" fontId="42" fillId="30" borderId="135" xfId="258" applyFont="1" applyFill="1" applyBorder="1" applyAlignment="1" applyProtection="1">
      <alignment horizontal="center" vertical="center"/>
    </xf>
    <xf numFmtId="0" fontId="42" fillId="30" borderId="136" xfId="258" applyFont="1" applyFill="1" applyBorder="1" applyAlignment="1" applyProtection="1">
      <alignment horizontal="center" vertical="center"/>
    </xf>
    <xf numFmtId="0" fontId="42" fillId="30" borderId="142" xfId="258" applyFont="1" applyFill="1" applyBorder="1" applyAlignment="1" applyProtection="1">
      <alignment horizontal="center" vertical="center"/>
    </xf>
    <xf numFmtId="10" fontId="56" fillId="30" borderId="167" xfId="158" applyNumberFormat="1" applyFont="1" applyFill="1" applyBorder="1" applyAlignment="1">
      <alignment horizontal="right" vertical="center"/>
    </xf>
    <xf numFmtId="10" fontId="56" fillId="30" borderId="169" xfId="158" applyNumberFormat="1" applyFont="1" applyFill="1" applyBorder="1" applyAlignment="1">
      <alignment horizontal="right" vertical="center"/>
    </xf>
    <xf numFmtId="10" fontId="56" fillId="30" borderId="91" xfId="158" applyNumberFormat="1" applyFont="1" applyFill="1" applyBorder="1" applyAlignment="1">
      <alignment horizontal="right" vertical="center"/>
    </xf>
    <xf numFmtId="0" fontId="0" fillId="30" borderId="170" xfId="0" applyFill="1" applyBorder="1" applyAlignment="1">
      <alignment horizontal="left" vertical="center"/>
    </xf>
    <xf numFmtId="0" fontId="0" fillId="30" borderId="171" xfId="0" applyFill="1" applyBorder="1" applyAlignment="1">
      <alignment horizontal="left" vertical="center"/>
    </xf>
    <xf numFmtId="0" fontId="0" fillId="30" borderId="172" xfId="0" applyFill="1" applyBorder="1" applyAlignment="1">
      <alignment horizontal="left" vertical="center"/>
    </xf>
    <xf numFmtId="0" fontId="0" fillId="30" borderId="64" xfId="0" applyFill="1" applyBorder="1" applyAlignment="1">
      <alignment horizontal="left" vertical="center"/>
    </xf>
    <xf numFmtId="0" fontId="0" fillId="30" borderId="173" xfId="0" applyFill="1" applyBorder="1" applyAlignment="1">
      <alignment horizontal="left" vertical="center"/>
    </xf>
    <xf numFmtId="10" fontId="56" fillId="30" borderId="100" xfId="158" applyNumberFormat="1" applyFont="1" applyFill="1" applyBorder="1" applyAlignment="1">
      <alignment horizontal="right" vertical="center"/>
    </xf>
    <xf numFmtId="10" fontId="56" fillId="30" borderId="88" xfId="158" applyNumberFormat="1" applyFont="1" applyFill="1" applyBorder="1" applyAlignment="1">
      <alignment horizontal="right" vertical="center"/>
    </xf>
    <xf numFmtId="0" fontId="0" fillId="32" borderId="149" xfId="0" applyFill="1" applyBorder="1" applyAlignment="1">
      <alignment horizontal="center" vertical="center"/>
    </xf>
    <xf numFmtId="0" fontId="0" fillId="32" borderId="168" xfId="0" applyFill="1" applyBorder="1" applyAlignment="1">
      <alignment horizontal="center" vertical="center"/>
    </xf>
    <xf numFmtId="0" fontId="0" fillId="32" borderId="87" xfId="0" applyFill="1" applyBorder="1" applyAlignment="1">
      <alignment horizontal="center" vertical="center"/>
    </xf>
    <xf numFmtId="176" fontId="0" fillId="32" borderId="167" xfId="0" applyNumberFormat="1" applyFill="1" applyBorder="1" applyAlignment="1">
      <alignment horizontal="right" vertical="center"/>
    </xf>
    <xf numFmtId="176" fontId="0" fillId="32" borderId="169" xfId="0" applyNumberFormat="1" applyFill="1" applyBorder="1" applyAlignment="1">
      <alignment horizontal="right" vertical="center"/>
    </xf>
    <xf numFmtId="176" fontId="0" fillId="32" borderId="91" xfId="0" applyNumberFormat="1" applyFill="1" applyBorder="1" applyAlignment="1">
      <alignment horizontal="right" vertical="center"/>
    </xf>
    <xf numFmtId="176" fontId="0" fillId="30" borderId="149" xfId="0" applyNumberFormat="1" applyFill="1" applyBorder="1" applyAlignment="1">
      <alignment horizontal="right" vertical="center"/>
    </xf>
    <xf numFmtId="176" fontId="0" fillId="30" borderId="99" xfId="0" applyNumberFormat="1" applyFill="1" applyBorder="1" applyAlignment="1">
      <alignment horizontal="right" vertical="center"/>
    </xf>
    <xf numFmtId="176" fontId="0" fillId="30" borderId="92" xfId="0" applyNumberFormat="1" applyFill="1" applyBorder="1" applyAlignment="1">
      <alignment horizontal="right" vertical="center"/>
    </xf>
    <xf numFmtId="176" fontId="0" fillId="30" borderId="168" xfId="0" applyNumberFormat="1" applyFill="1" applyBorder="1" applyAlignment="1">
      <alignment horizontal="right" vertical="center"/>
    </xf>
    <xf numFmtId="10" fontId="56" fillId="30" borderId="149" xfId="158" applyNumberFormat="1" applyFont="1" applyFill="1" applyBorder="1" applyAlignment="1">
      <alignment horizontal="center" vertical="center"/>
    </xf>
    <xf numFmtId="10" fontId="56" fillId="30" borderId="99" xfId="158" applyNumberFormat="1" applyFont="1" applyFill="1" applyBorder="1" applyAlignment="1">
      <alignment horizontal="center" vertical="center"/>
    </xf>
    <xf numFmtId="176" fontId="0" fillId="30" borderId="167" xfId="0" applyNumberFormat="1" applyFill="1" applyBorder="1" applyAlignment="1">
      <alignment horizontal="right" vertical="center"/>
    </xf>
    <xf numFmtId="176" fontId="0" fillId="30" borderId="100" xfId="0" applyNumberFormat="1" applyFill="1" applyBorder="1" applyAlignment="1">
      <alignment horizontal="right" vertical="center"/>
    </xf>
    <xf numFmtId="10" fontId="56" fillId="30" borderId="92" xfId="158" applyNumberFormat="1" applyFont="1" applyFill="1" applyBorder="1" applyAlignment="1">
      <alignment horizontal="center" vertical="center"/>
    </xf>
    <xf numFmtId="10" fontId="56" fillId="30" borderId="168" xfId="158" applyNumberFormat="1" applyFont="1" applyFill="1" applyBorder="1" applyAlignment="1">
      <alignment horizontal="center" vertical="center"/>
    </xf>
    <xf numFmtId="176" fontId="0" fillId="30" borderId="8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149" xfId="158" applyNumberFormat="1" applyFont="1" applyFill="1" applyBorder="1" applyAlignment="1">
      <alignment horizontal="center" vertical="center"/>
    </xf>
    <xf numFmtId="10" fontId="0" fillId="30" borderId="99" xfId="158" applyNumberFormat="1" applyFont="1" applyFill="1" applyBorder="1" applyAlignment="1">
      <alignment horizontal="center" vertical="center"/>
    </xf>
    <xf numFmtId="0" fontId="0" fillId="30" borderId="167" xfId="0" applyNumberFormat="1" applyFill="1" applyBorder="1" applyAlignment="1">
      <alignment horizontal="right" vertical="center"/>
    </xf>
    <xf numFmtId="10" fontId="0" fillId="30" borderId="92" xfId="158" applyNumberFormat="1" applyFont="1" applyFill="1" applyBorder="1" applyAlignment="1">
      <alignment horizontal="center" vertical="center"/>
    </xf>
    <xf numFmtId="10" fontId="0" fillId="30" borderId="168" xfId="158" applyNumberFormat="1" applyFont="1" applyFill="1" applyBorder="1" applyAlignment="1">
      <alignment horizontal="center" vertical="center"/>
    </xf>
    <xf numFmtId="0" fontId="0" fillId="30" borderId="88" xfId="0" applyNumberFormat="1" applyFill="1" applyBorder="1" applyAlignment="1">
      <alignment horizontal="right" vertical="center"/>
    </xf>
    <xf numFmtId="10" fontId="0" fillId="32" borderId="92" xfId="158" applyNumberFormat="1" applyFont="1" applyFill="1" applyBorder="1" applyAlignment="1">
      <alignment horizontal="center" vertical="center"/>
    </xf>
    <xf numFmtId="10" fontId="0" fillId="32" borderId="168" xfId="158" applyNumberFormat="1" applyFont="1" applyFill="1" applyBorder="1" applyAlignment="1">
      <alignment horizontal="center" vertical="center"/>
    </xf>
    <xf numFmtId="10" fontId="0" fillId="32" borderId="99" xfId="158" applyNumberFormat="1" applyFont="1" applyFill="1" applyBorder="1" applyAlignment="1">
      <alignment horizontal="center" vertical="center"/>
    </xf>
    <xf numFmtId="176" fontId="0" fillId="38" borderId="88" xfId="0" applyNumberFormat="1" applyFill="1" applyBorder="1" applyAlignment="1">
      <alignment horizontal="right" vertical="center"/>
    </xf>
    <xf numFmtId="176" fontId="0" fillId="38" borderId="169" xfId="0" applyNumberFormat="1" applyFill="1" applyBorder="1" applyAlignment="1">
      <alignment horizontal="right" vertical="center"/>
    </xf>
    <xf numFmtId="176" fontId="0" fillId="38" borderId="100"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67" fillId="30" borderId="22" xfId="0" applyFont="1" applyFill="1" applyBorder="1" applyAlignment="1">
      <alignment horizontal="center"/>
    </xf>
    <xf numFmtId="0" fontId="0" fillId="30" borderId="17" xfId="0" applyFill="1" applyBorder="1" applyAlignment="1">
      <alignment horizontal="center" vertical="center" wrapText="1"/>
    </xf>
    <xf numFmtId="0" fontId="0" fillId="30" borderId="21" xfId="0" applyFill="1" applyBorder="1" applyAlignment="1">
      <alignment horizontal="center" vertical="center" wrapText="1"/>
    </xf>
    <xf numFmtId="0" fontId="0" fillId="30" borderId="49" xfId="0" applyFill="1" applyBorder="1" applyAlignment="1">
      <alignment horizontal="center" vertical="center"/>
    </xf>
    <xf numFmtId="0" fontId="0" fillId="30" borderId="23" xfId="0" applyFill="1" applyBorder="1" applyAlignment="1">
      <alignment horizontal="center" vertical="center"/>
    </xf>
    <xf numFmtId="0" fontId="0" fillId="30" borderId="101" xfId="0" applyFill="1" applyBorder="1" applyAlignment="1">
      <alignment horizontal="center" vertical="center" wrapText="1"/>
    </xf>
    <xf numFmtId="0" fontId="0" fillId="30" borderId="102" xfId="0" applyFill="1" applyBorder="1" applyAlignment="1">
      <alignment horizontal="center" vertical="center" wrapText="1"/>
    </xf>
    <xf numFmtId="0" fontId="0" fillId="30" borderId="101" xfId="0" applyFill="1" applyBorder="1" applyAlignment="1">
      <alignment horizontal="center" vertical="center"/>
    </xf>
    <xf numFmtId="0" fontId="0" fillId="30" borderId="102" xfId="0" applyFill="1" applyBorder="1" applyAlignment="1">
      <alignment horizontal="center" vertical="center"/>
    </xf>
    <xf numFmtId="0" fontId="0" fillId="30" borderId="104" xfId="0" applyFill="1" applyBorder="1" applyAlignment="1">
      <alignment horizontal="center" vertical="center" wrapText="1"/>
    </xf>
    <xf numFmtId="0" fontId="0" fillId="30" borderId="75" xfId="0" applyFill="1" applyBorder="1" applyAlignment="1">
      <alignment horizontal="center" vertical="center" wrapText="1"/>
    </xf>
    <xf numFmtId="0" fontId="34" fillId="30" borderId="25" xfId="258" applyFont="1" applyFill="1" applyBorder="1" applyAlignment="1" applyProtection="1">
      <alignment horizontal="center" vertical="center"/>
    </xf>
    <xf numFmtId="0" fontId="34" fillId="30" borderId="26" xfId="258" applyFont="1" applyFill="1" applyBorder="1" applyAlignment="1" applyProtection="1">
      <alignment horizontal="center" vertical="center"/>
    </xf>
    <xf numFmtId="0" fontId="34" fillId="30" borderId="20" xfId="258" applyFont="1" applyFill="1" applyBorder="1" applyAlignment="1" applyProtection="1">
      <alignment horizontal="center" vertical="center"/>
    </xf>
    <xf numFmtId="0" fontId="34" fillId="30" borderId="142" xfId="258" applyFont="1" applyFill="1" applyBorder="1" applyAlignment="1" applyProtection="1">
      <alignment horizontal="center" vertical="center"/>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0" fontId="0" fillId="30" borderId="17" xfId="0" applyFill="1" applyBorder="1" applyAlignment="1">
      <alignment horizontal="center" vertical="center"/>
    </xf>
    <xf numFmtId="10" fontId="0" fillId="30" borderId="60" xfId="0" quotePrefix="1" applyNumberFormat="1" applyFill="1" applyBorder="1" applyAlignment="1">
      <alignment horizontal="center" vertical="center"/>
    </xf>
    <xf numFmtId="177" fontId="0" fillId="33" borderId="47" xfId="0" applyNumberFormat="1" applyFill="1" applyBorder="1" applyAlignment="1" applyProtection="1">
      <alignment horizontal="center" vertical="center"/>
      <protection locked="0"/>
    </xf>
    <xf numFmtId="177" fontId="0" fillId="33" borderId="50" xfId="0" applyNumberFormat="1" applyFill="1" applyBorder="1" applyAlignment="1" applyProtection="1">
      <alignment horizontal="center" vertical="center"/>
      <protection locked="0"/>
    </xf>
    <xf numFmtId="177" fontId="0" fillId="33" borderId="57" xfId="0" applyNumberFormat="1" applyFill="1" applyBorder="1" applyAlignment="1" applyProtection="1">
      <alignment horizontal="center" vertical="center"/>
      <protection locked="0"/>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51" xfId="0" applyFill="1" applyBorder="1" applyAlignment="1">
      <alignment horizontal="center" vertical="center" wrapText="1"/>
    </xf>
    <xf numFmtId="0" fontId="0" fillId="30" borderId="59" xfId="0" applyFill="1" applyBorder="1" applyAlignment="1">
      <alignment horizontal="center" vertical="center" wrapText="1"/>
    </xf>
    <xf numFmtId="0" fontId="67" fillId="30" borderId="17" xfId="0" applyFont="1" applyFill="1" applyBorder="1" applyAlignment="1">
      <alignment horizontal="center" vertical="center" textRotation="90"/>
    </xf>
    <xf numFmtId="0" fontId="67" fillId="30" borderId="16" xfId="0" applyFont="1" applyFill="1" applyBorder="1" applyAlignment="1">
      <alignment horizontal="center" vertical="center" textRotation="90"/>
    </xf>
    <xf numFmtId="0" fontId="67" fillId="30" borderId="21" xfId="0" applyFont="1" applyFill="1" applyBorder="1" applyAlignment="1">
      <alignment horizontal="center" vertical="center" textRotation="90"/>
    </xf>
    <xf numFmtId="0" fontId="0" fillId="30" borderId="18" xfId="0" applyFill="1" applyBorder="1" applyAlignment="1">
      <alignment horizontal="center" vertical="center"/>
    </xf>
    <xf numFmtId="0" fontId="0" fillId="30" borderId="149" xfId="0" applyFill="1" applyBorder="1" applyAlignment="1">
      <alignment horizontal="center" vertical="center"/>
    </xf>
    <xf numFmtId="0" fontId="0" fillId="30" borderId="87" xfId="0" applyFill="1" applyBorder="1" applyAlignment="1">
      <alignment horizontal="center" vertical="center"/>
    </xf>
    <xf numFmtId="0" fontId="0" fillId="30" borderId="174" xfId="0" applyFill="1" applyBorder="1" applyAlignment="1">
      <alignment horizontal="center" vertical="center"/>
    </xf>
    <xf numFmtId="0" fontId="0" fillId="30" borderId="62" xfId="0" applyFill="1" applyBorder="1" applyAlignment="1">
      <alignment horizontal="center" vertical="center"/>
    </xf>
    <xf numFmtId="0" fontId="0" fillId="30" borderId="150" xfId="0" applyFill="1" applyBorder="1" applyAlignment="1">
      <alignment horizontal="center" vertical="center" wrapText="1"/>
    </xf>
    <xf numFmtId="0" fontId="0" fillId="30" borderId="60" xfId="0" applyFill="1" applyBorder="1" applyAlignment="1">
      <alignment horizontal="center" vertical="center" wrapText="1"/>
    </xf>
    <xf numFmtId="0" fontId="0" fillId="30" borderId="149" xfId="0" applyFill="1" applyBorder="1" applyAlignment="1" applyProtection="1">
      <alignment horizontal="center" vertical="center"/>
    </xf>
    <xf numFmtId="0" fontId="0" fillId="30" borderId="87" xfId="0" applyFill="1" applyBorder="1" applyAlignment="1" applyProtection="1">
      <alignment horizontal="center" vertical="center"/>
    </xf>
    <xf numFmtId="0" fontId="0" fillId="30" borderId="174" xfId="0" applyFill="1" applyBorder="1" applyAlignment="1" applyProtection="1">
      <alignment horizontal="center" vertical="center"/>
    </xf>
    <xf numFmtId="0" fontId="0" fillId="30" borderId="62" xfId="0" applyFill="1" applyBorder="1" applyAlignment="1" applyProtection="1">
      <alignment horizontal="center" vertical="center"/>
    </xf>
    <xf numFmtId="0" fontId="0" fillId="30" borderId="17" xfId="0" applyFill="1" applyBorder="1" applyAlignment="1" applyProtection="1">
      <alignment horizontal="center" vertical="center"/>
    </xf>
    <xf numFmtId="0" fontId="0" fillId="30" borderId="49" xfId="0" applyFill="1" applyBorder="1" applyAlignment="1" applyProtection="1">
      <alignment horizontal="center" vertical="center"/>
    </xf>
    <xf numFmtId="0" fontId="0" fillId="30" borderId="25" xfId="0" applyFill="1" applyBorder="1" applyAlignment="1" applyProtection="1">
      <alignment horizontal="center" vertical="center"/>
    </xf>
    <xf numFmtId="0" fontId="0" fillId="30" borderId="26" xfId="0" applyFill="1" applyBorder="1" applyAlignment="1" applyProtection="1">
      <alignment horizontal="center" vertical="center"/>
    </xf>
    <xf numFmtId="0" fontId="0" fillId="30" borderId="136" xfId="0" applyFill="1" applyBorder="1" applyAlignment="1" applyProtection="1">
      <alignment horizontal="center" vertical="center"/>
    </xf>
    <xf numFmtId="0" fontId="67" fillId="30" borderId="17" xfId="0" applyFont="1" applyFill="1" applyBorder="1" applyAlignment="1" applyProtection="1">
      <alignment horizontal="center" vertical="center" textRotation="90"/>
    </xf>
    <xf numFmtId="0" fontId="67" fillId="30" borderId="16" xfId="0" applyFont="1" applyFill="1" applyBorder="1" applyAlignment="1" applyProtection="1">
      <alignment horizontal="center" vertical="center" textRotation="90"/>
    </xf>
    <xf numFmtId="0" fontId="67" fillId="30" borderId="21" xfId="0" applyFont="1" applyFill="1" applyBorder="1" applyAlignment="1" applyProtection="1">
      <alignment horizontal="center" vertical="center" textRotation="90"/>
    </xf>
    <xf numFmtId="10" fontId="0" fillId="30" borderId="60" xfId="0" quotePrefix="1" applyNumberFormat="1" applyFill="1" applyBorder="1" applyAlignment="1" applyProtection="1">
      <alignment horizontal="center" vertical="center"/>
    </xf>
    <xf numFmtId="0" fontId="0" fillId="30" borderId="18" xfId="0" applyFill="1" applyBorder="1" applyAlignment="1" applyProtection="1">
      <alignment horizontal="center" vertical="center"/>
    </xf>
    <xf numFmtId="0" fontId="0" fillId="30" borderId="101" xfId="0" applyFill="1" applyBorder="1" applyAlignment="1" applyProtection="1">
      <alignment horizontal="center" vertical="center"/>
    </xf>
    <xf numFmtId="0" fontId="0" fillId="30" borderId="102" xfId="0" applyFill="1" applyBorder="1" applyAlignment="1" applyProtection="1">
      <alignment horizontal="center" vertical="center"/>
    </xf>
    <xf numFmtId="0" fontId="0" fillId="30" borderId="149"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150" xfId="0" applyFill="1" applyBorder="1" applyAlignment="1" applyProtection="1">
      <alignment horizontal="center" vertical="center"/>
    </xf>
    <xf numFmtId="0" fontId="0" fillId="30" borderId="60" xfId="0" applyFill="1" applyBorder="1" applyAlignment="1" applyProtection="1">
      <alignment horizontal="center" vertical="center"/>
    </xf>
    <xf numFmtId="0" fontId="0" fillId="30" borderId="151" xfId="0" applyFill="1" applyBorder="1" applyAlignment="1" applyProtection="1">
      <alignment horizontal="center" vertical="center" wrapText="1"/>
    </xf>
    <xf numFmtId="0" fontId="0" fillId="30" borderId="59" xfId="0" applyFill="1" applyBorder="1" applyAlignment="1" applyProtection="1">
      <alignment horizontal="center" vertical="center" wrapText="1"/>
    </xf>
    <xf numFmtId="0" fontId="0" fillId="30" borderId="150"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177" fontId="0" fillId="33" borderId="158" xfId="0" applyNumberFormat="1" applyFill="1" applyBorder="1" applyAlignment="1" applyProtection="1">
      <alignment horizontal="center" vertical="center"/>
      <protection locked="0"/>
    </xf>
    <xf numFmtId="0" fontId="0" fillId="30" borderId="178" xfId="0" applyFill="1" applyBorder="1" applyAlignment="1">
      <alignment horizontal="center" vertical="center"/>
    </xf>
    <xf numFmtId="0" fontId="0" fillId="30" borderId="179" xfId="0" applyFill="1" applyBorder="1" applyAlignment="1">
      <alignment horizontal="center" vertical="center"/>
    </xf>
    <xf numFmtId="0" fontId="67" fillId="30" borderId="140" xfId="0" applyFont="1" applyFill="1" applyBorder="1" applyAlignment="1">
      <alignment horizontal="center" vertical="center" textRotation="90"/>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59" fillId="0" borderId="17" xfId="0" applyFont="1" applyBorder="1" applyAlignment="1" applyProtection="1">
      <alignment horizontal="left" vertical="center"/>
    </xf>
    <xf numFmtId="0" fontId="59" fillId="0" borderId="18" xfId="0" applyFont="1" applyBorder="1" applyAlignment="1" applyProtection="1">
      <alignment horizontal="left" vertical="center"/>
    </xf>
    <xf numFmtId="0" fontId="59" fillId="0" borderId="102" xfId="0" applyFont="1" applyBorder="1" applyAlignment="1" applyProtection="1">
      <alignment horizontal="left" vertical="center"/>
    </xf>
    <xf numFmtId="0" fontId="59" fillId="0" borderId="16"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175" xfId="0" applyFont="1" applyBorder="1" applyAlignment="1" applyProtection="1">
      <alignment horizontal="left" vertical="center"/>
    </xf>
    <xf numFmtId="0" fontId="59" fillId="0" borderId="21" xfId="0" applyFont="1" applyBorder="1" applyAlignment="1" applyProtection="1">
      <alignment horizontal="left" vertical="center"/>
    </xf>
    <xf numFmtId="0" fontId="59" fillId="0" borderId="22" xfId="0" applyFont="1" applyBorder="1" applyAlignment="1" applyProtection="1">
      <alignment horizontal="left" vertical="center"/>
    </xf>
    <xf numFmtId="0" fontId="59" fillId="0" borderId="103" xfId="0" applyFont="1" applyBorder="1" applyAlignment="1" applyProtection="1">
      <alignment horizontal="left" vertical="center"/>
    </xf>
    <xf numFmtId="0" fontId="59" fillId="0" borderId="63" xfId="0" applyFont="1" applyBorder="1" applyAlignment="1" applyProtection="1">
      <alignment horizontal="center" vertical="center"/>
    </xf>
    <xf numFmtId="0" fontId="59" fillId="0" borderId="71" xfId="0" applyFont="1" applyBorder="1" applyAlignment="1" applyProtection="1">
      <alignment horizontal="center" vertical="center"/>
    </xf>
    <xf numFmtId="0" fontId="59" fillId="0" borderId="104" xfId="0" applyFont="1" applyBorder="1" applyAlignment="1" applyProtection="1">
      <alignment horizontal="center" vertical="center"/>
    </xf>
    <xf numFmtId="0" fontId="59" fillId="0" borderId="38" xfId="0" applyFont="1" applyBorder="1" applyAlignment="1" applyProtection="1">
      <alignment horizontal="center" vertical="center"/>
    </xf>
    <xf numFmtId="0" fontId="59" fillId="0" borderId="75" xfId="0" applyFont="1" applyBorder="1" applyAlignment="1" applyProtection="1">
      <alignment horizontal="center" vertical="center"/>
    </xf>
    <xf numFmtId="0" fontId="65" fillId="30" borderId="119" xfId="0" applyFont="1" applyFill="1" applyBorder="1" applyAlignment="1">
      <alignment horizontal="left"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67" fillId="30" borderId="97" xfId="0" applyFont="1" applyFill="1" applyBorder="1" applyAlignment="1">
      <alignment horizontal="center" vertical="center" textRotation="90" wrapText="1"/>
    </xf>
    <xf numFmtId="0" fontId="73" fillId="30" borderId="140" xfId="224" applyFont="1" applyFill="1" applyBorder="1" applyAlignment="1" applyProtection="1">
      <alignment horizontal="center" vertical="center"/>
    </xf>
    <xf numFmtId="0" fontId="73" fillId="30" borderId="141" xfId="224" applyFont="1" applyFill="1" applyBorder="1" applyAlignment="1" applyProtection="1">
      <alignment horizontal="center" vertical="center"/>
    </xf>
    <xf numFmtId="0" fontId="73" fillId="30" borderId="16" xfId="224" applyFont="1" applyFill="1" applyBorder="1" applyAlignment="1" applyProtection="1">
      <alignment horizontal="center" vertical="center"/>
    </xf>
    <xf numFmtId="0" fontId="73" fillId="30" borderId="0" xfId="224" applyFont="1" applyFill="1" applyBorder="1" applyAlignment="1" applyProtection="1">
      <alignment horizontal="center" vertical="center"/>
    </xf>
    <xf numFmtId="0" fontId="73" fillId="30" borderId="21" xfId="224" applyFont="1" applyFill="1" applyBorder="1" applyAlignment="1" applyProtection="1">
      <alignment horizontal="center" vertical="center"/>
    </xf>
    <xf numFmtId="0" fontId="73" fillId="30" borderId="22" xfId="224" applyFont="1" applyFill="1" applyBorder="1" applyAlignment="1" applyProtection="1">
      <alignment horizontal="center" vertical="center"/>
    </xf>
    <xf numFmtId="0" fontId="73" fillId="30" borderId="147" xfId="224" applyFont="1" applyFill="1" applyBorder="1" applyAlignment="1" applyProtection="1">
      <alignment horizontal="center" vertical="center"/>
    </xf>
    <xf numFmtId="0" fontId="73" fillId="30" borderId="0" xfId="224" applyFont="1" applyFill="1" applyAlignment="1" applyProtection="1">
      <alignment horizontal="center" vertical="center"/>
    </xf>
    <xf numFmtId="0" fontId="73" fillId="30" borderId="175" xfId="224" applyFont="1" applyFill="1" applyBorder="1" applyAlignment="1" applyProtection="1">
      <alignment horizontal="center" vertical="center"/>
    </xf>
    <xf numFmtId="0" fontId="73" fillId="30" borderId="103" xfId="224" applyFont="1" applyFill="1" applyBorder="1" applyAlignment="1" applyProtection="1">
      <alignment horizontal="center" vertical="center"/>
    </xf>
    <xf numFmtId="0" fontId="73" fillId="30" borderId="152" xfId="224" applyFont="1" applyFill="1" applyBorder="1" applyAlignment="1" applyProtection="1">
      <alignment horizontal="center" vertical="center"/>
    </xf>
    <xf numFmtId="0" fontId="73" fillId="30" borderId="143" xfId="224" applyFont="1" applyFill="1" applyBorder="1" applyAlignment="1" applyProtection="1">
      <alignment horizontal="center" vertical="center"/>
    </xf>
    <xf numFmtId="0" fontId="73" fillId="30" borderId="72" xfId="224" applyFont="1" applyFill="1" applyBorder="1" applyAlignment="1" applyProtection="1">
      <alignment horizontal="center" vertical="center"/>
    </xf>
    <xf numFmtId="0" fontId="73" fillId="30" borderId="48" xfId="224" applyFont="1" applyFill="1" applyBorder="1" applyAlignment="1" applyProtection="1">
      <alignment horizontal="center" vertical="center"/>
    </xf>
    <xf numFmtId="0" fontId="73" fillId="30" borderId="76" xfId="224" applyFont="1" applyFill="1" applyBorder="1" applyAlignment="1" applyProtection="1">
      <alignment horizontal="center" vertical="center"/>
    </xf>
    <xf numFmtId="0" fontId="73" fillId="30" borderId="183" xfId="224" applyFont="1" applyFill="1" applyBorder="1" applyAlignment="1" applyProtection="1">
      <alignment horizontal="center" vertical="center"/>
    </xf>
    <xf numFmtId="0" fontId="73" fillId="30" borderId="181" xfId="224" applyFont="1" applyFill="1" applyBorder="1" applyAlignment="1" applyProtection="1">
      <alignment horizontal="center" vertical="center"/>
    </xf>
    <xf numFmtId="0" fontId="34" fillId="30" borderId="135" xfId="258" applyFont="1" applyFill="1" applyBorder="1" applyAlignment="1">
      <alignment horizontal="center" vertical="center"/>
    </xf>
    <xf numFmtId="0" fontId="34" fillId="30" borderId="136" xfId="258" applyFont="1" applyFill="1" applyBorder="1" applyAlignment="1">
      <alignment horizontal="center" vertical="center"/>
    </xf>
    <xf numFmtId="0" fontId="34" fillId="30" borderId="142" xfId="258" applyFont="1" applyFill="1" applyBorder="1" applyAlignment="1">
      <alignment horizontal="center" vertical="center"/>
    </xf>
    <xf numFmtId="0" fontId="73" fillId="30" borderId="140" xfId="0" applyFont="1" applyFill="1" applyBorder="1" applyAlignment="1">
      <alignment horizontal="center" vertical="center"/>
    </xf>
    <xf numFmtId="0" fontId="73" fillId="30" borderId="141" xfId="0" applyFont="1" applyFill="1" applyBorder="1" applyAlignment="1">
      <alignment horizontal="center" vertical="center"/>
    </xf>
    <xf numFmtId="0" fontId="73" fillId="30" borderId="147" xfId="0" applyFont="1" applyFill="1" applyBorder="1" applyAlignment="1">
      <alignment horizontal="center" vertical="center"/>
    </xf>
    <xf numFmtId="0" fontId="73" fillId="30" borderId="16" xfId="0" applyFont="1" applyFill="1" applyBorder="1" applyAlignment="1">
      <alignment horizontal="center" vertical="center"/>
    </xf>
    <xf numFmtId="0" fontId="73" fillId="30" borderId="0" xfId="0" applyFont="1" applyFill="1" applyAlignment="1">
      <alignment horizontal="center" vertical="center"/>
    </xf>
    <xf numFmtId="0" fontId="73" fillId="30" borderId="175" xfId="0" applyFont="1" applyFill="1" applyBorder="1" applyAlignment="1">
      <alignment horizontal="center" vertical="center"/>
    </xf>
    <xf numFmtId="0" fontId="73" fillId="30" borderId="21" xfId="0" applyFont="1" applyFill="1" applyBorder="1" applyAlignment="1">
      <alignment horizontal="center" vertical="center"/>
    </xf>
    <xf numFmtId="0" fontId="73" fillId="30" borderId="22" xfId="0" applyFont="1" applyFill="1" applyBorder="1" applyAlignment="1">
      <alignment horizontal="center" vertical="center"/>
    </xf>
    <xf numFmtId="0" fontId="73" fillId="30" borderId="103" xfId="0" applyFont="1" applyFill="1" applyBorder="1" applyAlignment="1">
      <alignment horizontal="center" vertical="center"/>
    </xf>
    <xf numFmtId="0" fontId="73" fillId="30" borderId="152" xfId="224" applyFont="1" applyFill="1" applyBorder="1" applyAlignment="1">
      <alignment horizontal="center" vertical="center"/>
    </xf>
    <xf numFmtId="0" fontId="73" fillId="30" borderId="141" xfId="224" applyFont="1" applyFill="1" applyBorder="1" applyAlignment="1">
      <alignment horizontal="center" vertical="center"/>
    </xf>
    <xf numFmtId="0" fontId="73" fillId="30" borderId="147" xfId="224" applyFont="1" applyFill="1" applyBorder="1" applyAlignment="1">
      <alignment horizontal="center" vertical="center"/>
    </xf>
    <xf numFmtId="0" fontId="73" fillId="30" borderId="170" xfId="0" applyFont="1" applyFill="1" applyBorder="1" applyAlignment="1">
      <alignment horizontal="center" vertical="center"/>
    </xf>
    <xf numFmtId="0" fontId="73" fillId="30" borderId="171" xfId="0" applyFont="1" applyFill="1" applyBorder="1" applyAlignment="1">
      <alignment horizontal="center" vertical="center"/>
    </xf>
    <xf numFmtId="0" fontId="73" fillId="30" borderId="172" xfId="0" applyFont="1" applyFill="1" applyBorder="1" applyAlignment="1">
      <alignment horizontal="center" vertical="center"/>
    </xf>
    <xf numFmtId="0" fontId="73" fillId="30" borderId="72" xfId="0" applyFont="1" applyFill="1" applyBorder="1" applyAlignment="1">
      <alignment horizontal="center" vertical="center"/>
    </xf>
    <xf numFmtId="0" fontId="73" fillId="30" borderId="48" xfId="0" applyFont="1" applyFill="1" applyBorder="1" applyAlignment="1">
      <alignment horizontal="center" vertical="center"/>
    </xf>
    <xf numFmtId="0" fontId="73" fillId="30" borderId="76" xfId="0" applyFont="1" applyFill="1" applyBorder="1" applyAlignment="1">
      <alignment horizontal="center" vertical="center"/>
    </xf>
    <xf numFmtId="0" fontId="42" fillId="30" borderId="135" xfId="258" applyFont="1" applyFill="1" applyBorder="1" applyAlignment="1">
      <alignment horizontal="center" vertical="center"/>
    </xf>
    <xf numFmtId="0" fontId="42" fillId="30" borderId="142" xfId="258" applyFont="1" applyFill="1" applyBorder="1" applyAlignment="1">
      <alignment horizontal="center" vertical="center"/>
    </xf>
    <xf numFmtId="0" fontId="62" fillId="30" borderId="15" xfId="0" applyFont="1" applyFill="1" applyBorder="1" applyAlignment="1">
      <alignment horizontal="left" vertical="center"/>
    </xf>
    <xf numFmtId="0" fontId="62" fillId="30" borderId="14" xfId="0" applyFont="1" applyFill="1" applyBorder="1" applyAlignment="1">
      <alignment horizontal="left" vertical="center"/>
    </xf>
    <xf numFmtId="0" fontId="62" fillId="30" borderId="71" xfId="0" applyFont="1" applyFill="1" applyBorder="1" applyAlignment="1">
      <alignment horizontal="left" vertical="center"/>
    </xf>
    <xf numFmtId="0" fontId="62" fillId="30" borderId="70" xfId="0" applyFont="1" applyFill="1" applyBorder="1" applyAlignment="1">
      <alignment horizontal="left" vertical="center"/>
    </xf>
    <xf numFmtId="0" fontId="62" fillId="30" borderId="67" xfId="0" applyFont="1" applyFill="1" applyBorder="1" applyAlignment="1">
      <alignment horizontal="left" vertical="center"/>
    </xf>
    <xf numFmtId="0" fontId="62" fillId="30" borderId="77" xfId="0" applyFont="1" applyFill="1" applyBorder="1" applyAlignment="1">
      <alignment horizontal="left" vertical="center"/>
    </xf>
    <xf numFmtId="0" fontId="62" fillId="30" borderId="27" xfId="0" applyFont="1" applyFill="1" applyBorder="1" applyAlignment="1">
      <alignment horizontal="left" vertical="center"/>
    </xf>
    <xf numFmtId="0" fontId="62" fillId="30" borderId="28" xfId="0" applyFont="1" applyFill="1" applyBorder="1" applyAlignment="1">
      <alignment horizontal="left" vertical="center"/>
    </xf>
    <xf numFmtId="0" fontId="62" fillId="30" borderId="184" xfId="0" applyFont="1" applyFill="1" applyBorder="1" applyAlignment="1">
      <alignment horizontal="left" vertical="center"/>
    </xf>
    <xf numFmtId="0" fontId="62" fillId="30" borderId="15" xfId="224" applyFont="1" applyFill="1" applyBorder="1" applyAlignment="1">
      <alignment horizontal="left" vertical="center"/>
    </xf>
    <xf numFmtId="0" fontId="62" fillId="30" borderId="14" xfId="224" applyFont="1" applyFill="1" applyBorder="1" applyAlignment="1">
      <alignment horizontal="left" vertical="center"/>
    </xf>
    <xf numFmtId="0" fontId="62" fillId="30" borderId="71" xfId="224" applyFont="1" applyFill="1" applyBorder="1" applyAlignment="1">
      <alignment horizontal="left" vertical="center"/>
    </xf>
    <xf numFmtId="0" fontId="42" fillId="30" borderId="136" xfId="258" applyFont="1" applyFill="1" applyBorder="1" applyAlignment="1">
      <alignment horizontal="center" vertical="center"/>
    </xf>
    <xf numFmtId="0" fontId="73" fillId="30" borderId="44" xfId="0" applyFont="1" applyFill="1" applyBorder="1" applyAlignment="1">
      <alignment horizontal="center" vertical="center"/>
    </xf>
    <xf numFmtId="0" fontId="73" fillId="30" borderId="38" xfId="0" applyFont="1" applyFill="1" applyBorder="1" applyAlignment="1">
      <alignment horizontal="center" vertical="center"/>
    </xf>
    <xf numFmtId="0" fontId="73" fillId="30" borderId="75" xfId="0" applyFont="1" applyFill="1" applyBorder="1" applyAlignment="1">
      <alignment horizontal="center" vertical="center"/>
    </xf>
    <xf numFmtId="0" fontId="73" fillId="30" borderId="15" xfId="0" applyFont="1" applyFill="1" applyBorder="1" applyAlignment="1">
      <alignment horizontal="center" vertical="center"/>
    </xf>
    <xf numFmtId="0" fontId="73" fillId="30" borderId="14" xfId="0" applyFont="1" applyFill="1" applyBorder="1" applyAlignment="1">
      <alignment horizontal="center" vertical="center"/>
    </xf>
    <xf numFmtId="0" fontId="73" fillId="30" borderId="71" xfId="0" applyFont="1" applyFill="1" applyBorder="1" applyAlignment="1">
      <alignment horizontal="center" vertical="center"/>
    </xf>
    <xf numFmtId="0" fontId="73" fillId="30" borderId="70" xfId="0" applyFont="1" applyFill="1" applyBorder="1" applyAlignment="1">
      <alignment horizontal="center" vertical="center"/>
    </xf>
    <xf numFmtId="0" fontId="73" fillId="30" borderId="67" xfId="0" applyFont="1" applyFill="1" applyBorder="1" applyAlignment="1">
      <alignment horizontal="center" vertical="center"/>
    </xf>
    <xf numFmtId="0" fontId="73" fillId="30" borderId="77" xfId="0" applyFont="1" applyFill="1" applyBorder="1" applyAlignment="1">
      <alignment horizontal="center" vertical="center"/>
    </xf>
    <xf numFmtId="0" fontId="73" fillId="30" borderId="148" xfId="0" applyFont="1" applyFill="1" applyBorder="1" applyAlignment="1">
      <alignment horizontal="center" vertical="center"/>
    </xf>
    <xf numFmtId="0" fontId="73" fillId="30" borderId="185" xfId="0" applyFont="1" applyFill="1" applyBorder="1" applyAlignment="1">
      <alignment horizontal="center" vertical="center"/>
    </xf>
    <xf numFmtId="0" fontId="73" fillId="30" borderId="90" xfId="0" applyFont="1" applyFill="1" applyBorder="1" applyAlignment="1">
      <alignment horizontal="center" vertical="center"/>
    </xf>
    <xf numFmtId="0" fontId="80" fillId="30" borderId="135" xfId="0" applyFont="1" applyFill="1" applyBorder="1" applyAlignment="1">
      <alignment horizontal="center" vertical="center"/>
    </xf>
    <xf numFmtId="0" fontId="80" fillId="30" borderId="136" xfId="0" applyFont="1" applyFill="1" applyBorder="1" applyAlignment="1">
      <alignment horizontal="center" vertical="center"/>
    </xf>
    <xf numFmtId="0" fontId="80" fillId="30" borderId="142" xfId="0" applyFont="1" applyFill="1" applyBorder="1" applyAlignment="1">
      <alignment horizontal="center" vertical="center"/>
    </xf>
    <xf numFmtId="0" fontId="59" fillId="30" borderId="135" xfId="0" applyFont="1" applyFill="1" applyBorder="1" applyAlignment="1">
      <alignment horizontal="center" vertical="center"/>
    </xf>
    <xf numFmtId="0" fontId="59" fillId="30" borderId="142" xfId="0" applyFont="1" applyFill="1" applyBorder="1" applyAlignment="1">
      <alignment horizontal="center" vertical="center"/>
    </xf>
    <xf numFmtId="0" fontId="59" fillId="30" borderId="135" xfId="0" applyFont="1" applyFill="1" applyBorder="1" applyAlignment="1">
      <alignment horizontal="center" vertical="center" wrapText="1"/>
    </xf>
    <xf numFmtId="0" fontId="59" fillId="30" borderId="136" xfId="0" applyFont="1" applyFill="1" applyBorder="1" applyAlignment="1">
      <alignment horizontal="center" vertical="center" wrapText="1"/>
    </xf>
    <xf numFmtId="0" fontId="59" fillId="30" borderId="142" xfId="0" applyFont="1" applyFill="1" applyBorder="1" applyAlignment="1">
      <alignment horizontal="center" vertical="center" wrapText="1"/>
    </xf>
    <xf numFmtId="0" fontId="0" fillId="30" borderId="0" xfId="0" applyFill="1" applyAlignment="1">
      <alignment horizontal="left" vertical="center"/>
    </xf>
    <xf numFmtId="0" fontId="0" fillId="30" borderId="181" xfId="0" applyFill="1" applyBorder="1" applyAlignment="1">
      <alignment horizontal="left" vertical="center"/>
    </xf>
    <xf numFmtId="0" fontId="78" fillId="30" borderId="0" xfId="0" applyFont="1" applyFill="1" applyAlignment="1">
      <alignment horizontal="left" vertical="center" wrapText="1"/>
    </xf>
    <xf numFmtId="0" fontId="78" fillId="30" borderId="181" xfId="0" applyFont="1" applyFill="1" applyBorder="1" applyAlignment="1">
      <alignment horizontal="left" vertical="center" wrapText="1"/>
    </xf>
    <xf numFmtId="0" fontId="80" fillId="30" borderId="136" xfId="0" applyFont="1" applyFill="1" applyBorder="1" applyAlignment="1">
      <alignment horizontal="center" wrapText="1"/>
    </xf>
    <xf numFmtId="0" fontId="80" fillId="30" borderId="142" xfId="0" applyFont="1" applyFill="1" applyBorder="1" applyAlignment="1">
      <alignment horizontal="center" wrapText="1"/>
    </xf>
    <xf numFmtId="0" fontId="59" fillId="30" borderId="135" xfId="0" applyFont="1" applyFill="1" applyBorder="1" applyAlignment="1">
      <alignment horizontal="left" vertical="top"/>
    </xf>
    <xf numFmtId="0" fontId="59" fillId="30" borderId="136" xfId="0" applyFont="1" applyFill="1" applyBorder="1" applyAlignment="1">
      <alignment horizontal="left" vertical="top"/>
    </xf>
    <xf numFmtId="0" fontId="80" fillId="30" borderId="135" xfId="0" applyFont="1" applyFill="1" applyBorder="1" applyAlignment="1">
      <alignment horizontal="center" wrapText="1"/>
    </xf>
    <xf numFmtId="4" fontId="2" fillId="30" borderId="15" xfId="263" applyNumberFormat="1" applyFill="1" applyBorder="1" applyAlignment="1" applyProtection="1">
      <alignment horizontal="center"/>
    </xf>
    <xf numFmtId="4" fontId="2" fillId="30" borderId="14" xfId="263" applyNumberFormat="1" applyFill="1" applyBorder="1" applyAlignment="1" applyProtection="1">
      <alignment horizontal="center"/>
    </xf>
    <xf numFmtId="4" fontId="2" fillId="30" borderId="31" xfId="263" applyNumberFormat="1" applyFill="1" applyBorder="1" applyAlignment="1" applyProtection="1">
      <alignment horizontal="center"/>
    </xf>
    <xf numFmtId="4" fontId="2" fillId="32" borderId="15" xfId="263" applyNumberFormat="1" applyFill="1" applyBorder="1" applyAlignment="1" applyProtection="1">
      <alignment horizontal="center"/>
    </xf>
    <xf numFmtId="4" fontId="2" fillId="32" borderId="14" xfId="263" applyNumberFormat="1" applyFill="1" applyBorder="1" applyAlignment="1" applyProtection="1">
      <alignment horizontal="center"/>
    </xf>
    <xf numFmtId="4" fontId="2" fillId="32" borderId="31" xfId="263" applyNumberFormat="1" applyFill="1" applyBorder="1" applyAlignment="1" applyProtection="1">
      <alignment horizontal="center"/>
    </xf>
    <xf numFmtId="0" fontId="83" fillId="30" borderId="135" xfId="258" applyFont="1" applyFill="1" applyBorder="1" applyAlignment="1" applyProtection="1">
      <alignment horizontal="center"/>
    </xf>
    <xf numFmtId="0" fontId="83" fillId="30" borderId="136" xfId="258" applyFont="1" applyFill="1" applyBorder="1" applyAlignment="1" applyProtection="1">
      <alignment horizontal="center"/>
    </xf>
    <xf numFmtId="0" fontId="83" fillId="30" borderId="142" xfId="258" applyFont="1" applyFill="1" applyBorder="1" applyAlignment="1" applyProtection="1">
      <alignment horizontal="center"/>
    </xf>
    <xf numFmtId="0" fontId="36" fillId="30" borderId="140" xfId="224" applyFont="1" applyFill="1" applyBorder="1" applyAlignment="1" applyProtection="1">
      <alignment horizontal="center" vertical="center"/>
    </xf>
    <xf numFmtId="0" fontId="36" fillId="30" borderId="141" xfId="224" applyFont="1" applyFill="1" applyBorder="1" applyAlignment="1" applyProtection="1">
      <alignment horizontal="center" vertical="center"/>
    </xf>
    <xf numFmtId="0" fontId="36" fillId="30" borderId="143" xfId="224" applyFont="1" applyFill="1" applyBorder="1" applyAlignment="1" applyProtection="1">
      <alignment horizontal="center" vertical="center"/>
    </xf>
    <xf numFmtId="0" fontId="36" fillId="30" borderId="16" xfId="224" applyFont="1" applyFill="1" applyBorder="1" applyAlignment="1" applyProtection="1">
      <alignment horizontal="center" vertical="center"/>
    </xf>
    <xf numFmtId="0" fontId="36" fillId="30" borderId="0" xfId="224" applyFont="1" applyFill="1" applyAlignment="1" applyProtection="1">
      <alignment horizontal="center" vertical="center"/>
    </xf>
    <xf numFmtId="0" fontId="36" fillId="30" borderId="181" xfId="224" applyFont="1" applyFill="1" applyBorder="1" applyAlignment="1" applyProtection="1">
      <alignment horizontal="center" vertical="center"/>
    </xf>
    <xf numFmtId="0" fontId="3" fillId="30" borderId="14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22" xfId="224" applyFont="1" applyFill="1" applyBorder="1" applyAlignment="1" applyProtection="1">
      <alignment horizontal="center" vertical="center"/>
    </xf>
    <xf numFmtId="0" fontId="3" fillId="30" borderId="16" xfId="224" applyFont="1" applyFill="1" applyBorder="1" applyAlignment="1" applyProtection="1">
      <alignment horizontal="center" vertical="center"/>
    </xf>
    <xf numFmtId="0" fontId="3" fillId="30" borderId="0" xfId="224" applyFont="1" applyFill="1" applyAlignment="1" applyProtection="1">
      <alignment horizontal="center" vertical="center"/>
    </xf>
    <xf numFmtId="0" fontId="3" fillId="30" borderId="143" xfId="224" applyFont="1" applyFill="1" applyBorder="1" applyAlignment="1" applyProtection="1">
      <alignment horizontal="center" vertical="center"/>
    </xf>
    <xf numFmtId="0" fontId="3" fillId="30" borderId="181"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00" xfId="224" applyFont="1" applyFill="1" applyBorder="1" applyAlignment="1" applyProtection="1">
      <alignment horizontal="center" vertical="center"/>
    </xf>
    <xf numFmtId="0" fontId="3" fillId="30" borderId="189" xfId="224"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8000000}"/>
    <cellStyle name="Komma 11" xfId="25" xr:uid="{00000000-0005-0000-0000-000019000000}"/>
    <cellStyle name="Komma 12" xfId="26" xr:uid="{00000000-0005-0000-0000-00001A000000}"/>
    <cellStyle name="Komma 13" xfId="27" xr:uid="{00000000-0005-0000-0000-00001B000000}"/>
    <cellStyle name="Komma 2" xfId="28" xr:uid="{00000000-0005-0000-0000-00001C000000}"/>
    <cellStyle name="Komma 2 2" xfId="29" xr:uid="{00000000-0005-0000-0000-00001D000000}"/>
    <cellStyle name="Komma 2 2 2" xfId="30" xr:uid="{00000000-0005-0000-0000-00001E000000}"/>
    <cellStyle name="Komma 2 3" xfId="31" xr:uid="{00000000-0005-0000-0000-00001F000000}"/>
    <cellStyle name="Komma 2 4" xfId="32" xr:uid="{00000000-0005-0000-0000-000020000000}"/>
    <cellStyle name="Komma 2 5" xfId="33" xr:uid="{00000000-0005-0000-0000-000021000000}"/>
    <cellStyle name="Komma 2 6" xfId="34" xr:uid="{00000000-0005-0000-0000-000022000000}"/>
    <cellStyle name="Komma 2 7" xfId="35" xr:uid="{00000000-0005-0000-0000-000023000000}"/>
    <cellStyle name="Komma 2_Tabel 7" xfId="36" xr:uid="{00000000-0005-0000-0000-000024000000}"/>
    <cellStyle name="Komma 3" xfId="37" xr:uid="{00000000-0005-0000-0000-000025000000}"/>
    <cellStyle name="Komma 3 2" xfId="38" xr:uid="{00000000-0005-0000-0000-000026000000}"/>
    <cellStyle name="Komma 3 3" xfId="39" xr:uid="{00000000-0005-0000-0000-000027000000}"/>
    <cellStyle name="Komma 4" xfId="40" xr:uid="{00000000-0005-0000-0000-000028000000}"/>
    <cellStyle name="Komma 4 2" xfId="41" xr:uid="{00000000-0005-0000-0000-000029000000}"/>
    <cellStyle name="Komma 4 3" xfId="42" xr:uid="{00000000-0005-0000-0000-00002A000000}"/>
    <cellStyle name="Komma 4 4" xfId="43" xr:uid="{00000000-0005-0000-0000-00002B000000}"/>
    <cellStyle name="Komma 5" xfId="44" xr:uid="{00000000-0005-0000-0000-00002C000000}"/>
    <cellStyle name="Komma 5 2" xfId="45" xr:uid="{00000000-0005-0000-0000-00002D000000}"/>
    <cellStyle name="Komma 6" xfId="46" xr:uid="{00000000-0005-0000-0000-00002E000000}"/>
    <cellStyle name="Komma 6 2" xfId="47" xr:uid="{00000000-0005-0000-0000-00002F000000}"/>
    <cellStyle name="Komma 7" xfId="48" xr:uid="{00000000-0005-0000-0000-000030000000}"/>
    <cellStyle name="Komma 7 2" xfId="49" xr:uid="{00000000-0005-0000-0000-000031000000}"/>
    <cellStyle name="Komma 8" xfId="50" xr:uid="{00000000-0005-0000-0000-000032000000}"/>
    <cellStyle name="Komma 9" xfId="51" xr:uid="{00000000-0005-0000-0000-000033000000}"/>
    <cellStyle name="Linked Cell" xfId="52" xr:uid="{00000000-0005-0000-0000-000034000000}"/>
    <cellStyle name="Milliers 2" xfId="53" xr:uid="{00000000-0005-0000-0000-000035000000}"/>
    <cellStyle name="Milliers 5" xfId="54" xr:uid="{00000000-0005-0000-0000-000036000000}"/>
    <cellStyle name="Milliers 8" xfId="55" xr:uid="{00000000-0005-0000-0000-000037000000}"/>
    <cellStyle name="Neutral" xfId="56" xr:uid="{00000000-0005-0000-0000-000038000000}"/>
    <cellStyle name="Normal 10" xfId="57" xr:uid="{00000000-0005-0000-0000-000039000000}"/>
    <cellStyle name="Normal 13" xfId="58" xr:uid="{00000000-0005-0000-0000-00003A000000}"/>
    <cellStyle name="Normal 14" xfId="59" xr:uid="{00000000-0005-0000-0000-00003B000000}"/>
    <cellStyle name="Normal 15" xfId="60" xr:uid="{00000000-0005-0000-0000-00003C000000}"/>
    <cellStyle name="Normal 16" xfId="61" xr:uid="{00000000-0005-0000-0000-00003D000000}"/>
    <cellStyle name="Normal 17" xfId="62" xr:uid="{00000000-0005-0000-0000-00003E000000}"/>
    <cellStyle name="Normal 18" xfId="63" xr:uid="{00000000-0005-0000-0000-00003F000000}"/>
    <cellStyle name="Normal 19" xfId="64" xr:uid="{00000000-0005-0000-0000-000040000000}"/>
    <cellStyle name="Normal 2" xfId="65" xr:uid="{00000000-0005-0000-0000-000041000000}"/>
    <cellStyle name="Normal 2 11" xfId="66" xr:uid="{00000000-0005-0000-0000-000042000000}"/>
    <cellStyle name="Normal 2 12" xfId="67" xr:uid="{00000000-0005-0000-0000-000043000000}"/>
    <cellStyle name="Normal 2 13" xfId="68" xr:uid="{00000000-0005-0000-0000-000044000000}"/>
    <cellStyle name="Normal 2 2" xfId="69" xr:uid="{00000000-0005-0000-0000-000045000000}"/>
    <cellStyle name="Normal 2 2 2" xfId="70" xr:uid="{00000000-0005-0000-0000-000046000000}"/>
    <cellStyle name="Normal 20" xfId="71" xr:uid="{00000000-0005-0000-0000-000047000000}"/>
    <cellStyle name="Normal 21" xfId="72" xr:uid="{00000000-0005-0000-0000-000048000000}"/>
    <cellStyle name="Normal 22" xfId="73" xr:uid="{00000000-0005-0000-0000-000049000000}"/>
    <cellStyle name="Normal 23" xfId="74" xr:uid="{00000000-0005-0000-0000-00004A000000}"/>
    <cellStyle name="Normal 24" xfId="75" xr:uid="{00000000-0005-0000-0000-00004B000000}"/>
    <cellStyle name="Normal 25" xfId="76" xr:uid="{00000000-0005-0000-0000-00004C000000}"/>
    <cellStyle name="Normal 26" xfId="77" xr:uid="{00000000-0005-0000-0000-00004D000000}"/>
    <cellStyle name="Normal 27" xfId="78" xr:uid="{00000000-0005-0000-0000-00004E000000}"/>
    <cellStyle name="Normal 28" xfId="79" xr:uid="{00000000-0005-0000-0000-00004F000000}"/>
    <cellStyle name="Normal 29" xfId="80" xr:uid="{00000000-0005-0000-0000-000050000000}"/>
    <cellStyle name="Normal 3" xfId="81" xr:uid="{00000000-0005-0000-0000-000051000000}"/>
    <cellStyle name="Normal 3 2" xfId="82" xr:uid="{00000000-0005-0000-0000-000052000000}"/>
    <cellStyle name="Normal 3 3" xfId="83" xr:uid="{00000000-0005-0000-0000-000053000000}"/>
    <cellStyle name="Normal 30" xfId="84" xr:uid="{00000000-0005-0000-0000-000054000000}"/>
    <cellStyle name="Normal 31" xfId="85" xr:uid="{00000000-0005-0000-0000-000055000000}"/>
    <cellStyle name="Normal 32" xfId="86" xr:uid="{00000000-0005-0000-0000-000056000000}"/>
    <cellStyle name="Normal 33" xfId="87" xr:uid="{00000000-0005-0000-0000-000057000000}"/>
    <cellStyle name="Normal 34" xfId="88" xr:uid="{00000000-0005-0000-0000-000058000000}"/>
    <cellStyle name="Normal 35" xfId="89" xr:uid="{00000000-0005-0000-0000-000059000000}"/>
    <cellStyle name="Normal 36" xfId="90" xr:uid="{00000000-0005-0000-0000-00005A000000}"/>
    <cellStyle name="Normal 37" xfId="91" xr:uid="{00000000-0005-0000-0000-00005B000000}"/>
    <cellStyle name="Normal 38" xfId="92" xr:uid="{00000000-0005-0000-0000-00005C000000}"/>
    <cellStyle name="Normal 39" xfId="93" xr:uid="{00000000-0005-0000-0000-00005D000000}"/>
    <cellStyle name="Normal 4" xfId="94" xr:uid="{00000000-0005-0000-0000-00005E000000}"/>
    <cellStyle name="Normal 40" xfId="95" xr:uid="{00000000-0005-0000-0000-00005F000000}"/>
    <cellStyle name="Normal 41" xfId="96" xr:uid="{00000000-0005-0000-0000-000060000000}"/>
    <cellStyle name="Normal 42" xfId="97" xr:uid="{00000000-0005-0000-0000-000061000000}"/>
    <cellStyle name="Normal 43" xfId="98" xr:uid="{00000000-0005-0000-0000-000062000000}"/>
    <cellStyle name="Normal 44" xfId="99" xr:uid="{00000000-0005-0000-0000-000063000000}"/>
    <cellStyle name="Normal 45" xfId="100" xr:uid="{00000000-0005-0000-0000-000064000000}"/>
    <cellStyle name="Normal 46" xfId="101" xr:uid="{00000000-0005-0000-0000-000065000000}"/>
    <cellStyle name="Normal 47" xfId="102" xr:uid="{00000000-0005-0000-0000-000066000000}"/>
    <cellStyle name="Normal 48" xfId="103" xr:uid="{00000000-0005-0000-0000-000067000000}"/>
    <cellStyle name="Normal 49" xfId="104" xr:uid="{00000000-0005-0000-0000-000068000000}"/>
    <cellStyle name="Normal 50" xfId="105" xr:uid="{00000000-0005-0000-0000-000069000000}"/>
    <cellStyle name="Normal 51" xfId="106" xr:uid="{00000000-0005-0000-0000-00006A000000}"/>
    <cellStyle name="Normal 52" xfId="107" xr:uid="{00000000-0005-0000-0000-00006B000000}"/>
    <cellStyle name="Normal 53" xfId="108" xr:uid="{00000000-0005-0000-0000-00006C000000}"/>
    <cellStyle name="Normal 54" xfId="109" xr:uid="{00000000-0005-0000-0000-00006D000000}"/>
    <cellStyle name="Normal 56" xfId="110" xr:uid="{00000000-0005-0000-0000-00006E000000}"/>
    <cellStyle name="Normal 57" xfId="111" xr:uid="{00000000-0005-0000-0000-00006F000000}"/>
    <cellStyle name="Normal 58" xfId="112" xr:uid="{00000000-0005-0000-0000-000070000000}"/>
    <cellStyle name="Normal 59" xfId="113" xr:uid="{00000000-0005-0000-0000-000071000000}"/>
    <cellStyle name="Normal 60" xfId="114" xr:uid="{00000000-0005-0000-0000-000072000000}"/>
    <cellStyle name="Normal 61" xfId="115" xr:uid="{00000000-0005-0000-0000-000073000000}"/>
    <cellStyle name="Normal 62" xfId="116" xr:uid="{00000000-0005-0000-0000-000074000000}"/>
    <cellStyle name="Normal 63" xfId="117" xr:uid="{00000000-0005-0000-0000-000075000000}"/>
    <cellStyle name="Normal 64" xfId="118" xr:uid="{00000000-0005-0000-0000-000076000000}"/>
    <cellStyle name="Normal 65" xfId="119" xr:uid="{00000000-0005-0000-0000-000077000000}"/>
    <cellStyle name="Normal 66" xfId="120" xr:uid="{00000000-0005-0000-0000-000078000000}"/>
    <cellStyle name="Normal 67" xfId="121" xr:uid="{00000000-0005-0000-0000-000079000000}"/>
    <cellStyle name="Normal 68" xfId="122" xr:uid="{00000000-0005-0000-0000-00007A000000}"/>
    <cellStyle name="Normal 69" xfId="123" xr:uid="{00000000-0005-0000-0000-00007B000000}"/>
    <cellStyle name="Normal 70" xfId="124" xr:uid="{00000000-0005-0000-0000-00007C000000}"/>
    <cellStyle name="Normal 71" xfId="125" xr:uid="{00000000-0005-0000-0000-00007D000000}"/>
    <cellStyle name="Normal 72" xfId="126" xr:uid="{00000000-0005-0000-0000-00007E000000}"/>
    <cellStyle name="Normal 73" xfId="127" xr:uid="{00000000-0005-0000-0000-00007F000000}"/>
    <cellStyle name="Normal 74" xfId="128" xr:uid="{00000000-0005-0000-0000-000080000000}"/>
    <cellStyle name="Normal 75" xfId="129" xr:uid="{00000000-0005-0000-0000-000081000000}"/>
    <cellStyle name="Normal 76" xfId="130" xr:uid="{00000000-0005-0000-0000-000082000000}"/>
    <cellStyle name="Normal 77" xfId="131" xr:uid="{00000000-0005-0000-0000-000083000000}"/>
    <cellStyle name="Normal 78" xfId="132" xr:uid="{00000000-0005-0000-0000-000084000000}"/>
    <cellStyle name="Normal 79" xfId="133" xr:uid="{00000000-0005-0000-0000-000085000000}"/>
    <cellStyle name="Normal 80" xfId="134" xr:uid="{00000000-0005-0000-0000-000086000000}"/>
    <cellStyle name="Normal 81" xfId="135" xr:uid="{00000000-0005-0000-0000-000087000000}"/>
    <cellStyle name="Normal 82" xfId="136" xr:uid="{00000000-0005-0000-0000-000088000000}"/>
    <cellStyle name="Normal 83" xfId="137" xr:uid="{00000000-0005-0000-0000-000089000000}"/>
    <cellStyle name="Normal 84" xfId="138" xr:uid="{00000000-0005-0000-0000-00008A000000}"/>
    <cellStyle name="Normal 85" xfId="139" xr:uid="{00000000-0005-0000-0000-00008B000000}"/>
    <cellStyle name="Normal 86" xfId="140" xr:uid="{00000000-0005-0000-0000-00008C000000}"/>
    <cellStyle name="Normal 87" xfId="141" xr:uid="{00000000-0005-0000-0000-00008D000000}"/>
    <cellStyle name="Normal 88" xfId="142" xr:uid="{00000000-0005-0000-0000-00008E000000}"/>
    <cellStyle name="Normal 89" xfId="143" xr:uid="{00000000-0005-0000-0000-00008F000000}"/>
    <cellStyle name="Normal 9" xfId="144" xr:uid="{00000000-0005-0000-0000-000090000000}"/>
    <cellStyle name="Normal 90" xfId="145" xr:uid="{00000000-0005-0000-0000-000091000000}"/>
    <cellStyle name="Normal 91" xfId="146" xr:uid="{00000000-0005-0000-0000-000092000000}"/>
    <cellStyle name="Normal 92" xfId="147" xr:uid="{00000000-0005-0000-0000-000093000000}"/>
    <cellStyle name="Normal 93" xfId="148" xr:uid="{00000000-0005-0000-0000-000094000000}"/>
    <cellStyle name="Normal 94" xfId="149" xr:uid="{00000000-0005-0000-0000-000095000000}"/>
    <cellStyle name="Normal 95 2" xfId="150" xr:uid="{00000000-0005-0000-0000-000096000000}"/>
    <cellStyle name="Normal_237 FOUT_FA" xfId="151" xr:uid="{00000000-0005-0000-0000-000097000000}"/>
    <cellStyle name="Normal_Tableaux CREG Sibelga Gaz 2004" xfId="267" xr:uid="{49C3A004-21F1-40D6-BC81-962DF90988CF}"/>
    <cellStyle name="Note" xfId="152" xr:uid="{00000000-0005-0000-0000-000099000000}"/>
    <cellStyle name="Ongedefinieerd" xfId="153" xr:uid="{00000000-0005-0000-0000-00009A000000}"/>
    <cellStyle name="Output" xfId="154" xr:uid="{00000000-0005-0000-0000-00009B000000}"/>
    <cellStyle name="Percent" xfId="155" xr:uid="{00000000-0005-0000-0000-00009C000000}"/>
    <cellStyle name="Percent 2" xfId="156" xr:uid="{00000000-0005-0000-0000-00009D000000}"/>
    <cellStyle name="Pourcentage 2" xfId="157" xr:uid="{00000000-0005-0000-0000-00009E000000}"/>
    <cellStyle name="Procent" xfId="158" builtinId="5"/>
    <cellStyle name="Procent 2" xfId="159" xr:uid="{00000000-0005-0000-0000-0000A0000000}"/>
    <cellStyle name="Procent 2 2" xfId="160" xr:uid="{00000000-0005-0000-0000-0000A1000000}"/>
    <cellStyle name="Procent 3" xfId="161" xr:uid="{00000000-0005-0000-0000-0000A2000000}"/>
    <cellStyle name="Procent 3 2" xfId="162" xr:uid="{00000000-0005-0000-0000-0000A3000000}"/>
    <cellStyle name="Procent 3 3" xfId="163" xr:uid="{00000000-0005-0000-0000-0000A4000000}"/>
    <cellStyle name="Procent 3 4" xfId="164" xr:uid="{00000000-0005-0000-0000-0000A5000000}"/>
    <cellStyle name="Procent 3 5" xfId="165" xr:uid="{00000000-0005-0000-0000-0000A6000000}"/>
    <cellStyle name="Procent 3 6" xfId="166" xr:uid="{00000000-0005-0000-0000-0000A7000000}"/>
    <cellStyle name="Procent 4" xfId="167" xr:uid="{00000000-0005-0000-0000-0000A8000000}"/>
    <cellStyle name="Procent 4 2" xfId="168" xr:uid="{00000000-0005-0000-0000-0000A9000000}"/>
    <cellStyle name="Procent 4 3" xfId="169" xr:uid="{00000000-0005-0000-0000-0000AA000000}"/>
    <cellStyle name="Procent 4 4" xfId="170" xr:uid="{00000000-0005-0000-0000-0000AB000000}"/>
    <cellStyle name="Procent 4 5" xfId="171" xr:uid="{00000000-0005-0000-0000-0000AC000000}"/>
    <cellStyle name="Procent 5" xfId="172" xr:uid="{00000000-0005-0000-0000-0000AD000000}"/>
    <cellStyle name="Procent 6" xfId="173" xr:uid="{00000000-0005-0000-0000-0000AE000000}"/>
    <cellStyle name="Procent 7" xfId="174" xr:uid="{00000000-0005-0000-0000-0000AF000000}"/>
    <cellStyle name="SAPBEXaggData" xfId="175" xr:uid="{00000000-0005-0000-0000-0000B0000000}"/>
    <cellStyle name="SAPBEXaggDataEmph" xfId="176" xr:uid="{00000000-0005-0000-0000-0000B1000000}"/>
    <cellStyle name="SAPBEXaggItem" xfId="177" xr:uid="{00000000-0005-0000-0000-0000B2000000}"/>
    <cellStyle name="SAPBEXaggItemX" xfId="178" xr:uid="{00000000-0005-0000-0000-0000B3000000}"/>
    <cellStyle name="SAPBEXchaText" xfId="179" xr:uid="{00000000-0005-0000-0000-0000B4000000}"/>
    <cellStyle name="SAPBEXchaText 2" xfId="180" xr:uid="{00000000-0005-0000-0000-0000B5000000}"/>
    <cellStyle name="SAPBEXexcBad7" xfId="181" xr:uid="{00000000-0005-0000-0000-0000B6000000}"/>
    <cellStyle name="SAPBEXexcBad8" xfId="182" xr:uid="{00000000-0005-0000-0000-0000B7000000}"/>
    <cellStyle name="SAPBEXexcBad9" xfId="183" xr:uid="{00000000-0005-0000-0000-0000B8000000}"/>
    <cellStyle name="SAPBEXexcCritical4" xfId="184" xr:uid="{00000000-0005-0000-0000-0000B9000000}"/>
    <cellStyle name="SAPBEXexcCritical5" xfId="185" xr:uid="{00000000-0005-0000-0000-0000BA000000}"/>
    <cellStyle name="SAPBEXexcCritical6" xfId="186" xr:uid="{00000000-0005-0000-0000-0000BB000000}"/>
    <cellStyle name="SAPBEXexcGood1" xfId="187" xr:uid="{00000000-0005-0000-0000-0000BC000000}"/>
    <cellStyle name="SAPBEXexcGood2" xfId="188" xr:uid="{00000000-0005-0000-0000-0000BD000000}"/>
    <cellStyle name="SAPBEXexcGood3" xfId="189" xr:uid="{00000000-0005-0000-0000-0000BE000000}"/>
    <cellStyle name="SAPBEXfilterDrill" xfId="190" xr:uid="{00000000-0005-0000-0000-0000BF000000}"/>
    <cellStyle name="SAPBEXfilterItem" xfId="191" xr:uid="{00000000-0005-0000-0000-0000C0000000}"/>
    <cellStyle name="SAPBEXfilterText" xfId="192" xr:uid="{00000000-0005-0000-0000-0000C1000000}"/>
    <cellStyle name="SAPBEXformats" xfId="193" xr:uid="{00000000-0005-0000-0000-0000C2000000}"/>
    <cellStyle name="SAPBEXheaderItem" xfId="194" xr:uid="{00000000-0005-0000-0000-0000C3000000}"/>
    <cellStyle name="SAPBEXheaderText" xfId="195" xr:uid="{00000000-0005-0000-0000-0000C4000000}"/>
    <cellStyle name="SAPBEXHLevel0" xfId="196" xr:uid="{00000000-0005-0000-0000-0000C5000000}"/>
    <cellStyle name="SAPBEXHLevel0X" xfId="197" xr:uid="{00000000-0005-0000-0000-0000C6000000}"/>
    <cellStyle name="SAPBEXHLevel1" xfId="198" xr:uid="{00000000-0005-0000-0000-0000C7000000}"/>
    <cellStyle name="SAPBEXHLevel1X" xfId="199" xr:uid="{00000000-0005-0000-0000-0000C8000000}"/>
    <cellStyle name="SAPBEXHLevel2" xfId="200" xr:uid="{00000000-0005-0000-0000-0000C9000000}"/>
    <cellStyle name="SAPBEXHLevel2X" xfId="201" xr:uid="{00000000-0005-0000-0000-0000CA000000}"/>
    <cellStyle name="SAPBEXHLevel3" xfId="202" xr:uid="{00000000-0005-0000-0000-0000CB000000}"/>
    <cellStyle name="SAPBEXHLevel3X" xfId="203" xr:uid="{00000000-0005-0000-0000-0000CC000000}"/>
    <cellStyle name="SAPBEXinputData" xfId="204" xr:uid="{00000000-0005-0000-0000-0000CD000000}"/>
    <cellStyle name="SAPBEXresData" xfId="205" xr:uid="{00000000-0005-0000-0000-0000CE000000}"/>
    <cellStyle name="SAPBEXresDataEmph" xfId="206" xr:uid="{00000000-0005-0000-0000-0000CF000000}"/>
    <cellStyle name="SAPBEXresItem" xfId="207" xr:uid="{00000000-0005-0000-0000-0000D0000000}"/>
    <cellStyle name="SAPBEXresItemX" xfId="208" xr:uid="{00000000-0005-0000-0000-0000D1000000}"/>
    <cellStyle name="SAPBEXstdData" xfId="209" xr:uid="{00000000-0005-0000-0000-0000D2000000}"/>
    <cellStyle name="SAPBEXstdDataEmph" xfId="210" xr:uid="{00000000-0005-0000-0000-0000D3000000}"/>
    <cellStyle name="SAPBEXstdItem" xfId="211" xr:uid="{00000000-0005-0000-0000-0000D4000000}"/>
    <cellStyle name="SAPBEXstdItem 2" xfId="212" xr:uid="{00000000-0005-0000-0000-0000D5000000}"/>
    <cellStyle name="SAPBEXstdItemX" xfId="213" xr:uid="{00000000-0005-0000-0000-0000D6000000}"/>
    <cellStyle name="SAPBEXtitle" xfId="214" xr:uid="{00000000-0005-0000-0000-0000D7000000}"/>
    <cellStyle name="SAPBEXundefined" xfId="215" xr:uid="{00000000-0005-0000-0000-0000D8000000}"/>
    <cellStyle name="Sheet Title" xfId="216" xr:uid="{00000000-0005-0000-0000-0000D9000000}"/>
    <cellStyle name="Standaard" xfId="0" builtinId="0"/>
    <cellStyle name="Standaard 10" xfId="217" xr:uid="{00000000-0005-0000-0000-0000DB000000}"/>
    <cellStyle name="Standaard 11" xfId="218" xr:uid="{00000000-0005-0000-0000-0000DC000000}"/>
    <cellStyle name="Standaard 12" xfId="219" xr:uid="{00000000-0005-0000-0000-0000DD000000}"/>
    <cellStyle name="Standaard 13" xfId="266" xr:uid="{E8E1AA65-57CD-4CC4-85E0-419364944BD1}"/>
    <cellStyle name="Standaard 2" xfId="220" xr:uid="{00000000-0005-0000-0000-0000DE000000}"/>
    <cellStyle name="Standaard 2 2" xfId="221" xr:uid="{00000000-0005-0000-0000-0000DF000000}"/>
    <cellStyle name="Standaard 2 2 2" xfId="222" xr:uid="{00000000-0005-0000-0000-0000E0000000}"/>
    <cellStyle name="Standaard 2 2 2 2" xfId="223" xr:uid="{00000000-0005-0000-0000-0000E1000000}"/>
    <cellStyle name="Standaard 2 3" xfId="224" xr:uid="{00000000-0005-0000-0000-0000E2000000}"/>
    <cellStyle name="Standaard 2 4" xfId="225" xr:uid="{00000000-0005-0000-0000-0000E3000000}"/>
    <cellStyle name="Standaard 2 5" xfId="226" xr:uid="{00000000-0005-0000-0000-0000E4000000}"/>
    <cellStyle name="Standaard 2 6" xfId="227" xr:uid="{00000000-0005-0000-0000-0000E5000000}"/>
    <cellStyle name="Standaard 2 7" xfId="228" xr:uid="{00000000-0005-0000-0000-0000E6000000}"/>
    <cellStyle name="Standaard 2 8" xfId="229" xr:uid="{00000000-0005-0000-0000-0000E7000000}"/>
    <cellStyle name="Standaard 2_B2009_doorvervoer ELEK_MATRIX_versie DEF" xfId="230" xr:uid="{00000000-0005-0000-0000-0000E8000000}"/>
    <cellStyle name="Standaard 3" xfId="231" xr:uid="{00000000-0005-0000-0000-0000E9000000}"/>
    <cellStyle name="Standaard 3 2" xfId="232" xr:uid="{00000000-0005-0000-0000-0000EA000000}"/>
    <cellStyle name="Standaard 3 2 2" xfId="233" xr:uid="{00000000-0005-0000-0000-0000EB000000}"/>
    <cellStyle name="Standaard 3 2 3" xfId="234" xr:uid="{00000000-0005-0000-0000-0000EC000000}"/>
    <cellStyle name="Standaard 3 2 4" xfId="268" xr:uid="{922F9E81-4F13-481D-8C74-E227F5AC09BD}"/>
    <cellStyle name="Standaard 3 3" xfId="235" xr:uid="{00000000-0005-0000-0000-0000ED000000}"/>
    <cellStyle name="Standaard 4" xfId="236" xr:uid="{00000000-0005-0000-0000-0000EE000000}"/>
    <cellStyle name="Standaard 4 2" xfId="237" xr:uid="{00000000-0005-0000-0000-0000EF000000}"/>
    <cellStyle name="Standaard 4 3" xfId="238" xr:uid="{00000000-0005-0000-0000-0000F0000000}"/>
    <cellStyle name="Standaard 4 4" xfId="239" xr:uid="{00000000-0005-0000-0000-0000F1000000}"/>
    <cellStyle name="Standaard 4 5" xfId="240" xr:uid="{00000000-0005-0000-0000-0000F2000000}"/>
    <cellStyle name="Standaard 4 6" xfId="241" xr:uid="{00000000-0005-0000-0000-0000F3000000}"/>
    <cellStyle name="Standaard 4 7" xfId="242" xr:uid="{00000000-0005-0000-0000-0000F4000000}"/>
    <cellStyle name="Standaard 4_B2009_doorvervoer ELEK_MATRIX_versie DEF" xfId="243" xr:uid="{00000000-0005-0000-0000-0000F5000000}"/>
    <cellStyle name="Standaard 5" xfId="244" xr:uid="{00000000-0005-0000-0000-0000F6000000}"/>
    <cellStyle name="Standaard 6" xfId="245" xr:uid="{00000000-0005-0000-0000-0000F7000000}"/>
    <cellStyle name="Standaard 6 2" xfId="246" xr:uid="{00000000-0005-0000-0000-0000F8000000}"/>
    <cellStyle name="Standaard 6 3" xfId="247" xr:uid="{00000000-0005-0000-0000-0000F9000000}"/>
    <cellStyle name="Standaard 6 4" xfId="248" xr:uid="{00000000-0005-0000-0000-0000FA000000}"/>
    <cellStyle name="Standaard 6 5" xfId="249" xr:uid="{00000000-0005-0000-0000-0000FB000000}"/>
    <cellStyle name="Standaard 6 6" xfId="250" xr:uid="{00000000-0005-0000-0000-0000FC000000}"/>
    <cellStyle name="Standaard 7" xfId="251" xr:uid="{00000000-0005-0000-0000-0000FD000000}"/>
    <cellStyle name="Standaard 7 2" xfId="252" xr:uid="{00000000-0005-0000-0000-0000FE000000}"/>
    <cellStyle name="Standaard 8" xfId="253" xr:uid="{00000000-0005-0000-0000-0000FF000000}"/>
    <cellStyle name="Standaard 8 2" xfId="254" xr:uid="{00000000-0005-0000-0000-000000010000}"/>
    <cellStyle name="Standaard 8 3" xfId="255" xr:uid="{00000000-0005-0000-0000-000001010000}"/>
    <cellStyle name="Standaard 9" xfId="256" xr:uid="{00000000-0005-0000-0000-000002010000}"/>
    <cellStyle name="Standaard_20100727 Rekenmodel NE5R v1.9" xfId="257" xr:uid="{00000000-0005-0000-0000-000003010000}"/>
    <cellStyle name="Standaard_Balans IL-Glob. PLAU" xfId="258" xr:uid="{00000000-0005-0000-0000-000004010000}"/>
    <cellStyle name="Stijl 1" xfId="259" xr:uid="{00000000-0005-0000-0000-000006010000}"/>
    <cellStyle name="Style 1" xfId="260" xr:uid="{00000000-0005-0000-0000-000007010000}"/>
    <cellStyle name="Title" xfId="261" xr:uid="{00000000-0005-0000-0000-000008010000}"/>
    <cellStyle name="Total" xfId="262" xr:uid="{00000000-0005-0000-0000-000009010000}"/>
    <cellStyle name="Valuta 2" xfId="263" xr:uid="{00000000-0005-0000-0000-00000B010000}"/>
    <cellStyle name="Warning Text" xfId="264" xr:uid="{00000000-0005-0000-0000-00000C010000}"/>
    <cellStyle name="wittelijn" xfId="265" xr:uid="{00000000-0005-0000-0000-00000D010000}"/>
  </cellStyles>
  <dxfs count="275">
    <dxf>
      <numFmt numFmtId="4" formatCode="#,##0.00"/>
      <fill>
        <patternFill patternType="solid">
          <fgColor indexed="64"/>
          <bgColor theme="0"/>
        </patternFill>
      </fill>
      <border diagonalUp="0" diagonalDown="0" outline="0">
        <left/>
        <right style="medium">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double">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style="medium">
          <color indexed="64"/>
        </left>
        <right/>
        <top style="medium">
          <color auto="1"/>
        </top>
        <bottom style="medium">
          <color indexed="64"/>
        </bottom>
      </border>
    </dxf>
    <dxf>
      <fill>
        <patternFill>
          <fgColor indexed="64"/>
          <bgColor theme="0"/>
        </patternFill>
      </fill>
      <border diagonalUp="0" diagonalDown="0" outline="0">
        <left/>
        <right/>
        <top style="hair">
          <color indexed="64"/>
        </top>
        <bottom style="hair">
          <color indexed="64"/>
        </bottom>
      </border>
    </dxf>
    <dxf>
      <border>
        <top style="medium">
          <color indexed="64"/>
        </top>
      </border>
    </dxf>
    <dxf>
      <numFmt numFmtId="177" formatCode="[$€-2]\ #,##0.0000000"/>
      <fill>
        <patternFill patternType="solid">
          <fgColor indexed="64"/>
          <bgColor theme="0"/>
        </patternFill>
      </fill>
      <border diagonalUp="0" diagonalDown="0">
        <left style="double">
          <color indexed="64"/>
        </left>
        <right style="double">
          <color indexed="64"/>
        </right>
        <top/>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7" formatCode="[$€-2]\ #,##0.0000000"/>
      <fill>
        <patternFill patternType="lightUp">
          <fgColor indexed="64"/>
          <bgColor theme="0"/>
        </patternFill>
      </fill>
      <border diagonalUp="0" diagonalDown="0">
        <left/>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7" formatCode="[$€-2]\ #,##0.0000000"/>
      <fill>
        <patternFill patternType="solid">
          <fgColor indexed="64"/>
          <bgColor theme="0"/>
        </patternFill>
      </fill>
      <border diagonalUp="0" diagonalDown="0">
        <left/>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vertical/>
      </border>
    </dxf>
    <dxf>
      <numFmt numFmtId="0" formatCode="General"/>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style="hair">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outline="0">
        <left/>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outline="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left style="hair">
          <color indexed="64"/>
        </left>
        <right/>
        <top style="hair">
          <color indexed="64"/>
        </top>
        <bottom style="hair">
          <color indexed="64"/>
        </bottom>
        <vertical/>
        <horizontal/>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hair">
          <color indexed="64"/>
        </right>
        <top style="medium">
          <color auto="1"/>
        </top>
        <bottom/>
      </border>
    </dxf>
    <dxf>
      <numFmt numFmtId="176" formatCode="[$€-2]\ #,##0.00"/>
      <fill>
        <patternFill>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double">
          <color indexed="64"/>
        </right>
        <top style="medium">
          <color indexed="64"/>
        </top>
        <bottom/>
      </border>
    </dxf>
    <dxf>
      <numFmt numFmtId="176" formatCode="[$€-2]\ #,##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right/>
        <top style="medium">
          <color indexed="64"/>
        </top>
        <bottom/>
      </border>
    </dxf>
    <dxf>
      <fill>
        <patternFill>
          <fgColor indexed="64"/>
          <bgColor theme="0"/>
        </patternFill>
      </fill>
      <border diagonalUp="0" diagonalDown="0">
        <left/>
        <right/>
        <top style="hair">
          <color indexed="64"/>
        </top>
        <bottom style="hair">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double">
          <color indexed="64"/>
        </right>
        <top style="medium">
          <color indexed="64"/>
        </top>
        <bottom style="medium">
          <color indexed="64"/>
        </bottom>
      </border>
    </dxf>
    <dxf>
      <numFmt numFmtId="176" formatCode="[$€-2]\ #,##0.00"/>
      <fill>
        <patternFill patternType="solid">
          <fgColor indexed="64"/>
          <bgColor rgb="FFFFFF99"/>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border>
      <protection locked="0" hidden="0"/>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right/>
        <top style="hair">
          <color indexed="64"/>
        </top>
        <bottom style="hair">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double">
          <color auto="1"/>
        </left>
        <right style="hair">
          <color auto="1"/>
        </right>
        <top style="hair">
          <color indexed="64"/>
        </top>
        <bottom style="hair">
          <color indexed="64"/>
        </bottom>
        <vertical style="hair">
          <color auto="1"/>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double">
          <color indexed="64"/>
        </right>
        <top style="medium">
          <color auto="1"/>
        </top>
        <bottom style="medium">
          <color indexed="64"/>
        </bottom>
      </border>
    </dxf>
    <dxf>
      <fill>
        <patternFill>
          <fgColor indexed="64"/>
          <bgColor theme="0"/>
        </patternFill>
      </fill>
      <alignment horizontal="left" vertical="center" textRotation="0" wrapText="1" indent="0" justifyLastLine="0" shrinkToFit="0" readingOrder="0"/>
      <border diagonalUp="0" diagonalDown="0">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left style="medium">
          <color indexed="64"/>
        </left>
        <right/>
        <top style="hair">
          <color indexed="64"/>
        </top>
        <bottom style="hair">
          <color indexed="64"/>
        </bottom>
      </border>
    </dxf>
    <dxf>
      <border>
        <top style="medium">
          <color indexed="64"/>
        </top>
      </border>
    </dxf>
    <dxf>
      <fill>
        <patternFill>
          <fgColor indexed="64"/>
          <bgColor theme="0"/>
        </patternFill>
      </fill>
      <alignment horizontal="center" vertic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alignment horizontal="center" vertical="center" textRotation="0" indent="0" justifyLastLine="0" shrinkToFit="0" readingOrder="0"/>
    </dxf>
    <dxf>
      <border>
        <bottom style="medium">
          <color indexed="64"/>
        </bottom>
      </border>
    </dxf>
    <dxf>
      <font>
        <strike val="0"/>
        <outline val="0"/>
        <shadow val="0"/>
        <u val="none"/>
        <vertAlign val="baseline"/>
        <color auto="1"/>
        <name val="Calibri"/>
        <family val="2"/>
        <scheme val="none"/>
      </font>
      <fill>
        <patternFill>
          <fgColor indexed="64"/>
          <bgColor theme="0"/>
        </patternFill>
      </fill>
      <alignment horizontal="center" vertical="center" textRotation="0" indent="0" justifyLastLine="0" shrinkToFit="0" readingOrder="0"/>
      <border diagonalUp="0" diagonalDown="0">
        <left/>
        <right/>
        <top/>
        <bottom/>
      </border>
    </dxf>
    <dxf>
      <font>
        <color auto="1"/>
      </font>
      <fill>
        <patternFill>
          <bgColor rgb="FFFFFF99"/>
        </patternFill>
      </fill>
    </dxf>
    <dxf>
      <fill>
        <patternFill>
          <bgColor rgb="FFFFFF99"/>
        </patternFill>
      </fill>
    </dxf>
    <dxf>
      <fill>
        <patternFill patternType="lightUp"/>
      </fill>
    </dxf>
    <dxf>
      <numFmt numFmtId="4" formatCode="#,##0.00"/>
      <fill>
        <patternFill>
          <fgColor indexed="64"/>
          <bgColor rgb="FFFFFF99"/>
        </patternFill>
      </fill>
      <border diagonalUp="0" diagonalDown="0">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rgb="FFFFFF99"/>
        </patternFill>
      </fill>
      <border diagonalUp="0" diagonalDown="0">
        <left style="double">
          <color indexed="64"/>
        </left>
        <right style="double">
          <color indexed="64"/>
        </right>
        <top style="hair">
          <color indexed="64"/>
        </top>
        <bottom style="hair">
          <color indexed="64"/>
        </bottom>
        <vertical/>
        <horizontal/>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top style="hair">
          <color indexed="64"/>
        </top>
        <bottom style="hair">
          <color indexed="64"/>
        </bottom>
        <vertical style="double">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vertical style="double">
          <color indexed="64"/>
        </vertical>
      </border>
      <protection locked="1" hidden="0"/>
    </dxf>
    <dxf>
      <numFmt numFmtId="4" formatCode="#,##0.00"/>
      <fill>
        <patternFill patternType="lightUp">
          <fgColor indexed="64"/>
          <bgColor rgb="FFFFFF99"/>
        </patternFill>
      </fill>
      <border diagonalUp="0" diagonalDown="0" outline="0">
        <left style="hair">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lightUp">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horizontal/>
      </border>
      <protection locked="1" hidden="0"/>
    </dxf>
    <dxf>
      <numFmt numFmtId="4" formatCode="#,##0.00"/>
      <fill>
        <patternFill patternType="solid">
          <fgColor indexed="64"/>
          <bgColor theme="0"/>
        </patternFill>
      </fill>
      <border diagonalUp="0" diagonalDown="0">
        <left style="double">
          <color indexed="64"/>
        </left>
        <right/>
        <top style="hair">
          <color indexed="64"/>
        </top>
        <bottom style="hair">
          <color indexed="64"/>
        </bottom>
        <vertical/>
        <horizontal/>
      </border>
      <protection locked="1" hidden="0"/>
    </dxf>
    <dxf>
      <numFmt numFmtId="4" formatCode="#,##0.00"/>
      <fill>
        <patternFill>
          <fgColor indexed="64"/>
          <bgColor theme="0"/>
        </patternFill>
      </fill>
      <border diagonalUp="0" diagonalDown="0">
        <left/>
        <right style="double">
          <color indexed="64"/>
        </right>
        <top style="hair">
          <color indexed="64"/>
        </top>
        <bottom style="hair">
          <color indexed="64"/>
        </bottom>
      </border>
      <protection locked="1" hidden="0"/>
    </dxf>
    <dxf>
      <font>
        <strike val="0"/>
        <outline val="0"/>
        <shadow val="0"/>
        <u val="none"/>
        <vertAlign val="baseline"/>
        <sz val="11"/>
        <color theme="0"/>
        <name val="Calibri"/>
        <family val="2"/>
        <scheme val="minor"/>
      </font>
      <fill>
        <patternFill patternType="solid">
          <fgColor indexed="64"/>
          <bgColor theme="0"/>
        </patternFill>
      </fill>
      <border diagonalUp="0" diagonalDown="0">
        <left/>
        <right/>
        <top style="hair">
          <color indexed="64"/>
        </top>
        <bottom style="hair">
          <color indexed="64"/>
        </bottom>
      </border>
      <protection locked="1" hidden="0"/>
    </dxf>
    <dxf>
      <fill>
        <patternFill>
          <fgColor indexed="64"/>
          <bgColor theme="0"/>
        </patternFill>
      </fill>
      <border diagonalUp="0" diagonalDown="0">
        <left/>
        <right/>
        <top style="hair">
          <color indexed="64"/>
        </top>
        <bottom style="hair">
          <color indexed="64"/>
        </bottom>
      </border>
      <protection locked="1"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protection locked="1" hidden="0"/>
    </dxf>
    <dxf>
      <border>
        <bottom style="medium">
          <color indexed="64"/>
        </bottom>
      </border>
    </dxf>
    <dxf>
      <fill>
        <patternFill>
          <fgColor indexed="64"/>
          <bgColor theme="0"/>
        </patternFill>
      </fill>
      <alignment horizontal="center" vertical="center" textRotation="0" indent="0" justifyLastLine="0" shrinkToFit="0" readingOrder="0"/>
      <border diagonalUp="0" diagonalDown="0">
        <left/>
        <right/>
        <top/>
        <bottom/>
      </border>
      <protection locked="1" hidden="0"/>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indexed="64"/>
        </bottom>
      </border>
    </dxf>
    <dxf>
      <fill>
        <patternFill patternType="solid">
          <fgColor indexed="64"/>
          <bgColor theme="0"/>
        </patternFill>
      </fill>
      <alignment horizontal="center" vertical="center" textRotation="0" wrapText="1" indent="0" justifyLastLine="0" shrinkToFit="0" readingOrder="0"/>
      <border diagonalUp="0" diagonalDown="0">
        <left/>
        <right/>
        <top/>
        <bottom/>
        <vertical/>
        <horizontal/>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double">
          <color indexed="64"/>
        </left>
        <right style="hair">
          <color auto="1"/>
        </right>
        <top style="hair">
          <color indexed="64"/>
        </top>
        <bottom style="hair">
          <color indexed="64"/>
        </bottom>
      </border>
    </dxf>
    <dxf>
      <alignment horizontal="center" vertical="center" textRotation="0" wrapText="0" indent="0" justifyLastLine="0" shrinkToFit="0" readingOrder="0"/>
      <border diagonalUp="0" diagonalDown="0">
        <left style="hair">
          <color indexed="64"/>
        </left>
        <right style="double">
          <color indexed="64"/>
        </right>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hair">
          <color auto="1"/>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rgb="FFFF0000"/>
        </patternFill>
      </fill>
      <alignment horizontal="left" vertical="center" textRotation="0" wrapText="0" indent="0" justifyLastLine="0" shrinkToFit="0" readingOrder="0"/>
      <border diagonalUp="0" diagonalDown="0">
        <left style="hair">
          <color indexed="64"/>
        </left>
        <right style="double">
          <color indexed="64"/>
        </right>
        <top style="hair">
          <color indexed="64"/>
        </top>
        <bottom/>
        <vertical style="hair">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FFFF99"/>
      <color rgb="FFF9FDCF"/>
      <color rgb="FFD8E4BC"/>
      <color rgb="FFD0C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125</xdr:row>
      <xdr:rowOff>0</xdr:rowOff>
    </xdr:from>
    <xdr:ext cx="962508" cy="183320"/>
    <mc:AlternateContent xmlns:mc="http://schemas.openxmlformats.org/markup-compatibility/2006" xmlns:a14="http://schemas.microsoft.com/office/drawing/2010/main">
      <mc:Choice Requires="a14">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  </a:t>
              </a:r>
              <a:endParaRPr lang="nl-BE" sz="1100"/>
            </a:p>
          </xdr:txBody>
        </xdr:sp>
      </mc:Fallback>
    </mc:AlternateContent>
    <xdr:clientData/>
  </xdr:oneCellAnchor>
  <xdr:oneCellAnchor>
    <xdr:from>
      <xdr:col>1</xdr:col>
      <xdr:colOff>0</xdr:colOff>
      <xdr:row>127</xdr:row>
      <xdr:rowOff>0</xdr:rowOff>
    </xdr:from>
    <xdr:ext cx="1341456" cy="183192"/>
    <mc:AlternateContent xmlns:mc="http://schemas.openxmlformats.org/markup-compatibility/2006" xmlns:a14="http://schemas.microsoft.com/office/drawing/2010/main">
      <mc:Choice Requires="a14">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〖𝑘𝑉𝐴〗_(𝑇𝑉,𝑖,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129</xdr:row>
      <xdr:rowOff>0</xdr:rowOff>
    </xdr:from>
    <xdr:ext cx="1290418" cy="183192"/>
    <mc:AlternateContent xmlns:mc="http://schemas.openxmlformats.org/markup-compatibility/2006" xmlns:a14="http://schemas.microsoft.com/office/drawing/2010/main">
      <mc:Choice Requires="a14">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𝑇_(𝑀𝑃,𝑖, 𝑗, 𝑘)  × 〖𝑘𝑊〗_(𝑀𝑃,𝑖, 𝑗, 𝑘)</a:t>
              </a:r>
              <a:endParaRPr lang="nl-BE" sz="1100"/>
            </a:p>
          </xdr:txBody>
        </xdr:sp>
      </mc:Fallback>
    </mc:AlternateContent>
    <xdr:clientData/>
  </xdr:oneCellAnchor>
  <xdr:oneCellAnchor>
    <xdr:from>
      <xdr:col>1</xdr:col>
      <xdr:colOff>0</xdr:colOff>
      <xdr:row>115</xdr:row>
      <xdr:rowOff>0</xdr:rowOff>
    </xdr:from>
    <xdr:ext cx="4962256" cy="374013"/>
    <mc:AlternateContent xmlns:mc="http://schemas.openxmlformats.org/markup-compatibility/2006" xmlns:a14="http://schemas.microsoft.com/office/drawing/2010/main">
      <mc:Choice Requires="a14">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118</xdr:row>
      <xdr:rowOff>0</xdr:rowOff>
    </xdr:from>
    <xdr:ext cx="5170582" cy="374013"/>
    <mc:AlternateContent xmlns:mc="http://schemas.openxmlformats.org/markup-compatibility/2006" xmlns:a14="http://schemas.microsoft.com/office/drawing/2010/main">
      <mc:Choice Requires="a14">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𝑎𝑎𝑛𝑑𝑒𝑒𝑙〗_(𝑀𝑃−𝑇𝑉,𝑖, 𝑗, 𝑘)= </a:t>
              </a:r>
              <a:r>
                <a:rPr lang="nl-BE" sz="1100" b="0" i="0">
                  <a:solidFill>
                    <a:schemeClr val="tx1"/>
                  </a:solidFill>
                  <a:effectLst/>
                  <a:latin typeface="Cambria Math" panose="02040503050406030204" pitchFamily="18" charset="0"/>
                  <a:ea typeface="+mn-ea"/>
                  <a:cs typeface="+mn-cs"/>
                </a:rPr>
                <a:t> (1,5 × ∑ 〖𝑘𝑊〗_(𝑀𝑃−𝑇𝑉,𝑖, 𝑗, 𝑘)  ÷12)/(</a:t>
              </a:r>
              <a:r>
                <a:rPr lang="nl-BE" sz="1100" b="0" i="0">
                  <a:latin typeface="Cambria Math" panose="02040503050406030204" pitchFamily="18" charset="0"/>
                </a:rPr>
                <a:t>(</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131</xdr:row>
      <xdr:rowOff>0</xdr:rowOff>
    </xdr:from>
    <xdr:ext cx="1738105" cy="183192"/>
    <mc:AlternateContent xmlns:mc="http://schemas.openxmlformats.org/markup-compatibility/2006" xmlns:a14="http://schemas.microsoft.com/office/drawing/2010/main">
      <mc:Choice Requires="a14">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𝑇_(𝑀𝑃−𝑇𝑉,𝑖, 𝑗, 𝑘)  × 〖𝑘𝑊〗_(𝑀𝑃−𝑇𝑉,𝑖, 𝑗, 𝑘) </a:t>
              </a:r>
              <a:r>
                <a:rPr lang="nl-BE" sz="1100" b="0" i="0">
                  <a:latin typeface="Cambria Math" panose="02040503050406030204" pitchFamily="18" charset="0"/>
                </a:rPr>
                <a:t> </a:t>
              </a:r>
              <a:endParaRPr lang="nl-BE" sz="1100"/>
            </a:p>
          </xdr:txBody>
        </xdr:sp>
      </mc:Fallback>
    </mc:AlternateContent>
    <xdr:clientData/>
  </xdr:oneCellAnchor>
  <xdr:twoCellAnchor>
    <xdr:from>
      <xdr:col>9</xdr:col>
      <xdr:colOff>0</xdr:colOff>
      <xdr:row>10</xdr:row>
      <xdr:rowOff>0</xdr:rowOff>
    </xdr:from>
    <xdr:to>
      <xdr:col>9</xdr:col>
      <xdr:colOff>270000</xdr:colOff>
      <xdr:row>16</xdr:row>
      <xdr:rowOff>11100</xdr:rowOff>
    </xdr:to>
    <xdr:sp macro="" textlink="">
      <xdr:nvSpPr>
        <xdr:cNvPr id="25" name="Rechteraccolade 24">
          <a:extLst>
            <a:ext uri="{FF2B5EF4-FFF2-40B4-BE49-F238E27FC236}">
              <a16:creationId xmlns:a16="http://schemas.microsoft.com/office/drawing/2014/main" id="{60DA1B0F-4642-4D06-A9F8-F4043BE1DFD1}"/>
            </a:ext>
          </a:extLst>
        </xdr:cNvPr>
        <xdr:cNvSpPr/>
      </xdr:nvSpPr>
      <xdr:spPr>
        <a:xfrm>
          <a:off x="10668000" y="2343150"/>
          <a:ext cx="270000" cy="1116000"/>
        </a:xfrm>
        <a:prstGeom prst="rightBrac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oneCellAnchor>
    <xdr:from>
      <xdr:col>1</xdr:col>
      <xdr:colOff>0</xdr:colOff>
      <xdr:row>96</xdr:row>
      <xdr:rowOff>0</xdr:rowOff>
    </xdr:from>
    <xdr:ext cx="6180923" cy="183320"/>
    <mc:AlternateContent xmlns:mc="http://schemas.openxmlformats.org/markup-compatibility/2006" xmlns:a14="http://schemas.microsoft.com/office/drawing/2010/main">
      <mc:Choice Requires="a14">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  </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  𝑖, 𝑗, 𝑘)= 𝑇_(𝑇𝑉,𝑖, 𝑗, 𝑘)  </a:t>
              </a:r>
              <a:r>
                <a:rPr lang="nl-BE" sz="1100" b="0" i="0">
                  <a:latin typeface="Cambria Math" panose="02040503050406030204" pitchFamily="18" charset="0"/>
                  <a:ea typeface="Cambria Math" panose="02040503050406030204" pitchFamily="18" charset="0"/>
                </a:rPr>
                <a:t>× 〖∑ 𝑘𝑉𝐴〗_(𝑇𝑉,𝑖, 𝑗, 𝑘)+ 𝑇_(𝑀𝑃,𝑖,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〖𝑘𝑊〗_(𝑀𝑃,𝑖, 𝑗, 𝑘)+ 𝑇_(𝑀𝑃−𝑇𝑉,𝑖,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98</xdr:row>
      <xdr:rowOff>0</xdr:rowOff>
    </xdr:from>
    <xdr:ext cx="6758838" cy="183320"/>
    <mc:AlternateContent xmlns:mc="http://schemas.openxmlformats.org/markup-compatibility/2006" xmlns:a14="http://schemas.microsoft.com/office/drawing/2010/main">
      <mc:Choice Requires="a14">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14:m>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=50% </m:t>
                  </m:r>
                  <m:r>
                    <a:rPr lang="nl-BE" sz="1100" b="0" i="1">
                      <a:solidFill>
                        <a:schemeClr val="tx1"/>
                      </a:solidFill>
                      <a:effectLst/>
                      <a:latin typeface="Cambria Math" panose="02040503050406030204" pitchFamily="18" charset="0"/>
                      <a:ea typeface="Cambria Math" panose="02040503050406030204" pitchFamily="18" charset="0"/>
                      <a:cs typeface="+mn-cs"/>
                    </a:rPr>
                    <m:t>×(</m:t>
                  </m:r>
                  <m:sSub>
                    <m:sSubPr>
                      <m:ctrlPr>
                        <a:rPr lang="nl-BE" sz="110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𝐵</m:t>
                      </m:r>
                    </m:e>
                    <m:sub>
                      <m:r>
                        <a:rPr lang="nl-BE" sz="1100" b="0" i="1">
                          <a:solidFill>
                            <a:schemeClr val="tx1"/>
                          </a:solidFill>
                          <a:effectLst/>
                          <a:latin typeface="Cambria Math" panose="02040503050406030204" pitchFamily="18" charset="0"/>
                          <a:ea typeface="+mn-ea"/>
                          <a:cs typeface="+mn-cs"/>
                        </a:rPr>
                        <m:t>𝑁𝑒𝑡𝑔𝑒𝑏𝑟𝑢𝑖𝑘</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oMath>
              </a14:m>
              <a:r>
                <a:rPr lang="nl-BE" sz="1100"/>
                <a:t> </a:t>
              </a:r>
            </a:p>
          </xdr:txBody>
        </xdr:sp>
      </mc:Choice>
      <mc:Fallback xmlns="">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 </a:t>
              </a:r>
              <a:r>
                <a:rPr lang="nl-BE" sz="1100" b="0" i="0">
                  <a:solidFill>
                    <a:schemeClr val="tx1"/>
                  </a:solidFill>
                  <a:effectLst/>
                  <a:latin typeface="Cambria Math" panose="02040503050406030204" pitchFamily="18" charset="0"/>
                  <a:ea typeface="+mn-ea"/>
                  <a:cs typeface="+mn-cs"/>
                </a:rPr>
                <a:t>𝑇_(𝑀𝑃,𝑖, 𝑗, 𝑘)  × ∑ 〖𝑘𝑊〗_(𝑀𝑃,𝑖, 𝑗, 𝑘)=50%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solidFill>
                    <a:schemeClr val="tx1"/>
                  </a:solidFill>
                  <a:effectLst/>
                  <a:latin typeface="Cambria Math" panose="02040503050406030204" pitchFamily="18" charset="0"/>
                  <a:ea typeface="+mn-ea"/>
                  <a:cs typeface="+mn-cs"/>
                </a:rPr>
                <a:t>𝐵_(𝑁𝑒𝑡𝑔𝑒𝑏𝑟𝑢𝑖𝑘,𝑖, 𝑗, 𝑘)  − 𝑇_(𝑀𝑃−𝑇𝑉,𝑖, 𝑗, 𝑘)  × ∑ 〖𝑘𝑊〗_(𝑀𝑃−𝑇𝑉,𝑖, 𝑗, 𝑘))</a:t>
              </a:r>
              <a:r>
                <a:rPr lang="nl-BE" sz="1100"/>
                <a:t> </a:t>
              </a:r>
            </a:p>
          </xdr:txBody>
        </xdr:sp>
      </mc:Fallback>
    </mc:AlternateContent>
    <xdr:clientData/>
  </xdr:oneCellAnchor>
  <xdr:oneCellAnchor>
    <xdr:from>
      <xdr:col>1</xdr:col>
      <xdr:colOff>0</xdr:colOff>
      <xdr:row>100</xdr:row>
      <xdr:rowOff>0</xdr:rowOff>
    </xdr:from>
    <xdr:ext cx="2077556" cy="183192"/>
    <mc:AlternateContent xmlns:mc="http://schemas.openxmlformats.org/markup-compatibility/2006" xmlns:a14="http://schemas.microsoft.com/office/drawing/2010/main">
      <mc:Choice Requires="a14">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=1,5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𝑇_(𝑀𝑃−𝑇𝑉,𝑖, 𝑗, 𝑘)=1,5 </a:t>
              </a:r>
              <a:r>
                <a:rPr lang="nl-BE" sz="1100" b="0" i="0">
                  <a:latin typeface="Cambria Math" panose="02040503050406030204" pitchFamily="18" charset="0"/>
                  <a:ea typeface="Cambria Math" panose="02040503050406030204" pitchFamily="18" charset="0"/>
                </a:rPr>
                <a:t>× 𝑇_(𝑇𝑉,𝑖, 𝑗, 𝑘)  ÷12</a:t>
              </a:r>
              <a:endParaRPr lang="nl-BE" sz="1100"/>
            </a:p>
          </xdr:txBody>
        </xdr:sp>
      </mc:Fallback>
    </mc:AlternateContent>
    <xdr:clientData/>
  </xdr:oneCellAnchor>
  <xdr:oneCellAnchor>
    <xdr:from>
      <xdr:col>1</xdr:col>
      <xdr:colOff>0</xdr:colOff>
      <xdr:row>104</xdr:row>
      <xdr:rowOff>0</xdr:rowOff>
    </xdr:from>
    <xdr:ext cx="5370381" cy="183320"/>
    <mc:AlternateContent xmlns:mc="http://schemas.openxmlformats.org/markup-compatibility/2006" xmlns:a14="http://schemas.microsoft.com/office/drawing/2010/main">
      <mc:Choice Requires="a14">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r>
                      <a:rPr lang="nl-BE" sz="1100" b="0" i="1">
                        <a:latin typeface="Cambria Math" panose="02040503050406030204" pitchFamily="18" charset="0"/>
                      </a:rPr>
                      <m:t> </m:t>
                    </m:r>
                  </m:oMath>
                </m:oMathPara>
              </a14:m>
              <a:endParaRPr lang="nl-BE" sz="1100"/>
            </a:p>
          </xdr:txBody>
        </xdr:sp>
      </mc:Choice>
      <mc:Fallback xmlns="">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𝑘)=2 </a:t>
              </a:r>
              <a:r>
                <a:rPr lang="nl-BE" sz="1100" b="0" i="0">
                  <a:latin typeface="Cambria Math" panose="02040503050406030204" pitchFamily="18" charset="0"/>
                  <a:ea typeface="Cambria Math" panose="02040503050406030204" pitchFamily="18" charset="0"/>
                </a:rPr>
                <a:t>× </a:t>
              </a: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𝑇_(𝑇𝑉,𝑖,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108</xdr:row>
      <xdr:rowOff>0</xdr:rowOff>
    </xdr:from>
    <xdr:ext cx="4766626" cy="183320"/>
    <mc:AlternateContent xmlns:mc="http://schemas.openxmlformats.org/markup-compatibility/2006" xmlns:a14="http://schemas.microsoft.com/office/drawing/2010/main">
      <mc:Choice Requires="a14">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Cambria Math" panose="02040503050406030204" pitchFamily="18" charset="0"/>
                        <a:cs typeface="+mn-cs"/>
                      </a:rPr>
                      <m:t>×(</m:t>
                    </m:r>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a:t>
              </a:r>
              <a:r>
                <a:rPr lang="nl-BE" sz="1100" b="0" i="0">
                  <a:solidFill>
                    <a:schemeClr val="tx1"/>
                  </a:solidFill>
                  <a:effectLst/>
                  <a:latin typeface="Cambria Math" panose="02040503050406030204" pitchFamily="18" charset="0"/>
                  <a:ea typeface="+mn-ea"/>
                  <a:cs typeface="+mn-cs"/>
                </a:rPr>
                <a:t>𝑇_(𝑇𝑉,𝑖, 𝑗, 𝑘)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latin typeface="Cambria Math" panose="02040503050406030204" pitchFamily="18" charset="0"/>
                </a:rPr>
                <a:t>2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endParaRPr lang="nl-BE" sz="1100"/>
            </a:p>
          </xdr:txBody>
        </xdr:sp>
      </mc:Fallback>
    </mc:AlternateContent>
    <xdr:clientData/>
  </xdr:oneCellAnchor>
  <xdr:oneCellAnchor>
    <xdr:from>
      <xdr:col>1</xdr:col>
      <xdr:colOff>0</xdr:colOff>
      <xdr:row>112</xdr:row>
      <xdr:rowOff>0</xdr:rowOff>
    </xdr:from>
    <xdr:ext cx="4941096" cy="374013"/>
    <mc:AlternateContent xmlns:mc="http://schemas.openxmlformats.org/markup-compatibility/2006" xmlns:a14="http://schemas.microsoft.com/office/drawing/2010/main">
      <mc:Choice Requires="a14">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𝑎𝑎𝑛𝑑𝑒𝑒𝑙〗_(𝑇𝑉,𝑖,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twoCellAnchor>
    <xdr:from>
      <xdr:col>3</xdr:col>
      <xdr:colOff>0</xdr:colOff>
      <xdr:row>69</xdr:row>
      <xdr:rowOff>0</xdr:rowOff>
    </xdr:from>
    <xdr:to>
      <xdr:col>3</xdr:col>
      <xdr:colOff>270000</xdr:colOff>
      <xdr:row>70</xdr:row>
      <xdr:rowOff>187500</xdr:rowOff>
    </xdr:to>
    <xdr:sp macro="" textlink="">
      <xdr:nvSpPr>
        <xdr:cNvPr id="17" name="Rechteraccolade 16">
          <a:extLst>
            <a:ext uri="{FF2B5EF4-FFF2-40B4-BE49-F238E27FC236}">
              <a16:creationId xmlns:a16="http://schemas.microsoft.com/office/drawing/2014/main" id="{22BFE544-8AEB-4C4A-B60A-4541BC96FBC3}"/>
            </a:ext>
          </a:extLst>
        </xdr:cNvPr>
        <xdr:cNvSpPr/>
      </xdr:nvSpPr>
      <xdr:spPr>
        <a:xfrm>
          <a:off x="5143500" y="151542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72</xdr:row>
      <xdr:rowOff>0</xdr:rowOff>
    </xdr:from>
    <xdr:to>
      <xdr:col>3</xdr:col>
      <xdr:colOff>270000</xdr:colOff>
      <xdr:row>74</xdr:row>
      <xdr:rowOff>177000</xdr:rowOff>
    </xdr:to>
    <xdr:sp macro="" textlink="">
      <xdr:nvSpPr>
        <xdr:cNvPr id="18" name="Rechteraccolade 17">
          <a:extLst>
            <a:ext uri="{FF2B5EF4-FFF2-40B4-BE49-F238E27FC236}">
              <a16:creationId xmlns:a16="http://schemas.microsoft.com/office/drawing/2014/main" id="{CC090118-FB14-49C7-971A-69403042B63F}"/>
            </a:ext>
          </a:extLst>
        </xdr:cNvPr>
        <xdr:cNvSpPr/>
      </xdr:nvSpPr>
      <xdr:spPr>
        <a:xfrm>
          <a:off x="5143500" y="15725775"/>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78</xdr:row>
      <xdr:rowOff>0</xdr:rowOff>
    </xdr:from>
    <xdr:to>
      <xdr:col>3</xdr:col>
      <xdr:colOff>270000</xdr:colOff>
      <xdr:row>79</xdr:row>
      <xdr:rowOff>187500</xdr:rowOff>
    </xdr:to>
    <xdr:sp macro="" textlink="">
      <xdr:nvSpPr>
        <xdr:cNvPr id="20" name="Rechteraccolade 19">
          <a:extLst>
            <a:ext uri="{FF2B5EF4-FFF2-40B4-BE49-F238E27FC236}">
              <a16:creationId xmlns:a16="http://schemas.microsoft.com/office/drawing/2014/main" id="{A11DEB04-1E6F-4CF1-81EA-AA99B9EBCC33}"/>
            </a:ext>
          </a:extLst>
        </xdr:cNvPr>
        <xdr:cNvSpPr/>
      </xdr:nvSpPr>
      <xdr:spPr>
        <a:xfrm>
          <a:off x="5143500" y="172497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84</xdr:row>
      <xdr:rowOff>0</xdr:rowOff>
    </xdr:from>
    <xdr:to>
      <xdr:col>3</xdr:col>
      <xdr:colOff>270000</xdr:colOff>
      <xdr:row>88</xdr:row>
      <xdr:rowOff>156000</xdr:rowOff>
    </xdr:to>
    <xdr:sp macro="" textlink="">
      <xdr:nvSpPr>
        <xdr:cNvPr id="26" name="Rechteraccolade 25">
          <a:extLst>
            <a:ext uri="{FF2B5EF4-FFF2-40B4-BE49-F238E27FC236}">
              <a16:creationId xmlns:a16="http://schemas.microsoft.com/office/drawing/2014/main" id="{B0A07957-FD06-42E0-B094-D9A8DA8AFF47}"/>
            </a:ext>
          </a:extLst>
        </xdr:cNvPr>
        <xdr:cNvSpPr/>
      </xdr:nvSpPr>
      <xdr:spPr>
        <a:xfrm>
          <a:off x="5143500" y="18392775"/>
          <a:ext cx="270000" cy="91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80</xdr:row>
      <xdr:rowOff>0</xdr:rowOff>
    </xdr:from>
    <xdr:to>
      <xdr:col>3</xdr:col>
      <xdr:colOff>270000</xdr:colOff>
      <xdr:row>82</xdr:row>
      <xdr:rowOff>177000</xdr:rowOff>
    </xdr:to>
    <xdr:sp macro="" textlink="">
      <xdr:nvSpPr>
        <xdr:cNvPr id="34" name="Rechteraccolade 33">
          <a:extLst>
            <a:ext uri="{FF2B5EF4-FFF2-40B4-BE49-F238E27FC236}">
              <a16:creationId xmlns:a16="http://schemas.microsoft.com/office/drawing/2014/main" id="{5661A155-52F9-49EE-817F-2069ABE3EF58}"/>
            </a:ext>
          </a:extLst>
        </xdr:cNvPr>
        <xdr:cNvSpPr/>
      </xdr:nvSpPr>
      <xdr:spPr>
        <a:xfrm>
          <a:off x="5143500" y="16168688"/>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26</xdr:row>
      <xdr:rowOff>0</xdr:rowOff>
    </xdr:from>
    <xdr:to>
      <xdr:col>26</xdr:col>
      <xdr:colOff>180000</xdr:colOff>
      <xdr:row>29</xdr:row>
      <xdr:rowOff>7700</xdr:rowOff>
    </xdr:to>
    <xdr:sp macro="" textlink="">
      <xdr:nvSpPr>
        <xdr:cNvPr id="4" name="Rechteraccolade 3">
          <a:extLst>
            <a:ext uri="{FF2B5EF4-FFF2-40B4-BE49-F238E27FC236}">
              <a16:creationId xmlns:a16="http://schemas.microsoft.com/office/drawing/2014/main" id="{7A9E440E-F6D6-43F8-A0FE-A567C50477B9}"/>
            </a:ext>
          </a:extLst>
        </xdr:cNvPr>
        <xdr:cNvSpPr/>
      </xdr:nvSpPr>
      <xdr:spPr>
        <a:xfrm>
          <a:off x="28241625" y="5734050"/>
          <a:ext cx="180000" cy="664925"/>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92</xdr:row>
      <xdr:rowOff>0</xdr:rowOff>
    </xdr:from>
    <xdr:to>
      <xdr:col>20</xdr:col>
      <xdr:colOff>180000</xdr:colOff>
      <xdr:row>99</xdr:row>
      <xdr:rowOff>28593</xdr:rowOff>
    </xdr:to>
    <xdr:sp macro="" textlink="">
      <xdr:nvSpPr>
        <xdr:cNvPr id="2" name="Rechteraccolade 1">
          <a:extLst>
            <a:ext uri="{FF2B5EF4-FFF2-40B4-BE49-F238E27FC236}">
              <a16:creationId xmlns:a16="http://schemas.microsoft.com/office/drawing/2014/main" id="{98055D6C-C304-4090-9388-839EE376475C}"/>
            </a:ext>
          </a:extLst>
        </xdr:cNvPr>
        <xdr:cNvSpPr/>
      </xdr:nvSpPr>
      <xdr:spPr>
        <a:xfrm>
          <a:off x="50149125" y="17299781"/>
          <a:ext cx="180000" cy="612000"/>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9C0256-522C-4500-A104-EEE36D4B440B}" name="VDSL1" displayName="VDSL1" ref="A8:H15" totalsRowShown="0" headerRowDxfId="243" dataDxfId="241" headerRowBorderDxfId="242">
  <autoFilter ref="A8:H15" xr:uid="{3F01A018-F417-4067-AE1E-E505AC44CF1F}"/>
  <tableColumns count="8">
    <tableColumn id="1" xr3:uid="{6874F31C-D82F-4ADE-A6C6-62BF35855968}" name="Verdeelsleutel" dataDxfId="240"/>
    <tableColumn id="8" xr3:uid="{06312C8F-ADAE-410F-AE6D-BE3F747F7CB0}" name="Eenheid" dataDxfId="239"/>
    <tableColumn id="2" xr3:uid="{55E325AA-E396-4C95-85E4-33CE88216184}" name="Afname (x)" dataDxfId="238"/>
    <tableColumn id="3" xr3:uid="{4FCDE1CB-E3FC-4DC3-A325-8E10556FB857}" name="Injectie (x)" dataDxfId="237"/>
    <tableColumn id="4" xr3:uid="{C374856D-F52A-4DAD-8FE7-666E35F3FB79}" name="Afname (#)" dataDxfId="236"/>
    <tableColumn id="5" xr3:uid="{66A1960F-A2D8-4F1A-8BF1-5AB85E640531}" name="Injectie (#)" dataDxfId="235">
      <calculatedColumnFormula>INDEX(Rekenvolumes[Injectieklanten (∑)],12)+INDEX(Rekenvolumes[Injectieklanten (∑)],13)</calculatedColumnFormula>
    </tableColumn>
    <tableColumn id="6" xr3:uid="{09407821-230D-4042-9E26-CEBCCD8F27CD}" name="Afname (%)" dataDxfId="234">
      <calculatedColumnFormula>IF(ISNUMBER($E9),$E9/SUM($E9:$F9),"")</calculatedColumnFormula>
    </tableColumn>
    <tableColumn id="7" xr3:uid="{765A5DC3-A550-452D-8D36-19E819D8033D}" name="Injectie (%)" dataDxfId="233">
      <calculatedColumnFormula>IF(ISNUMBER($F9),$F9/SUM($E9:$F9),"")</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FE027-2637-4C9E-9200-F0964967CB9C}" name="VDSL2" displayName="VDSL2" ref="A20:N40" totalsRowShown="0" headerRowDxfId="232" dataDxfId="230" headerRowBorderDxfId="231">
  <autoFilter ref="A20:N40" xr:uid="{F9554A6E-3861-4B70-8F48-93E413F87EE1}"/>
  <tableColumns count="14">
    <tableColumn id="1" xr3:uid="{AEA75F0E-2C8F-4692-AAE5-936E9D0EDE4A}" name="Verdeelsleutel" dataDxfId="229"/>
    <tableColumn id="16" xr3:uid="{B89B5C8A-5432-4BF4-A5AD-EF773FA21531}" name="Eenheid" dataDxfId="228"/>
    <tableColumn id="2" xr3:uid="{F5FC0C64-1F03-4A7B-B4CD-9933832DC0EB}" name="TRHS (x)" dataDxfId="227"/>
    <tableColumn id="3" xr3:uid="{378EE4D1-ED8F-4923-A63E-5244828FE1E5}" name="MS (x)" dataDxfId="226"/>
    <tableColumn id="4" xr3:uid="{947670E0-886E-4BD6-925F-A09B46DA12F0}" name="TRLS (x)" dataDxfId="225"/>
    <tableColumn id="5" xr3:uid="{E699CCEB-6EA3-4AF7-85F4-C6A128479D2A}" name="LS (x)" dataDxfId="224"/>
    <tableColumn id="6" xr3:uid="{F6B81E30-D672-4492-A2FB-FBDAC2BB4E16}" name="TRHS (#)" dataDxfId="223">
      <calculatedColumnFormula>INDEX(Rekenvolumes[Afnameklanten op TRHS (∑)],12)+INDEX(Rekenvolumes[Afnameklanten op TRHS (∑)],13)</calculatedColumnFormula>
    </tableColumn>
    <tableColumn id="7" xr3:uid="{D4E240B0-C5B3-49F4-A073-72CB49FB021C}" name="MS (#)" dataDxfId="222"/>
    <tableColumn id="8" xr3:uid="{8007C2B8-ADB7-40F6-8AE6-8C81847C9F4F}" name="TRLS (#)" dataDxfId="221"/>
    <tableColumn id="9" xr3:uid="{91BD29F2-DF63-4577-86C7-668066BACAA7}" name="LS (#)" dataDxfId="220"/>
    <tableColumn id="10" xr3:uid="{D0F3A797-CFA2-4140-AEAD-A02BD4AEC63C}" name="TRHS (%)" dataDxfId="219">
      <calculatedColumnFormula>(1+MAX_ODV_TRHS)*B2020_ODV_TRHS/'T2'!$K$96</calculatedColumnFormula>
    </tableColumn>
    <tableColumn id="11" xr3:uid="{83AB3077-11C2-4C19-AE4E-2623BF2DBE63}" name="MS (%)" dataDxfId="218">
      <calculatedColumnFormula>(1-$K$33)*H$33/SUM($H$33:$J$33)</calculatedColumnFormula>
    </tableColumn>
    <tableColumn id="12" xr3:uid="{13BBB216-83F5-4F2C-88EB-D14C97B3E7D9}" name="TRLS (%)" dataDxfId="217">
      <calculatedColumnFormula>(1-$K$33)*I$33/SUM($H$33:$J$33)</calculatedColumnFormula>
    </tableColumn>
    <tableColumn id="13" xr3:uid="{C9F5F94B-3F4C-45EC-A686-6A30EA744497}" name="LS (%)" dataDxfId="216">
      <calculatedColumnFormula>(1-$K$33)*J$33/SUM($H$33:$J$33)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3BBA52-64E2-4F50-9554-AF9FE0013448}" name="VDSL3" displayName="VDSL3" ref="A45:H54" totalsRowShown="0" headerRowDxfId="215" dataDxfId="213" headerRowBorderDxfId="214">
  <autoFilter ref="A45:H54" xr:uid="{34B3D4E2-72EF-4A41-934D-48088E41D0BE}"/>
  <tableColumns count="8">
    <tableColumn id="1" xr3:uid="{377E705C-F064-4562-86CC-98D115B0AFFC}" name="Verdeelsleutel" dataDxfId="212"/>
    <tableColumn id="2" xr3:uid="{FA1ABD60-217E-49D0-8CC6-D664ED4A717F}" name="Eenheid" dataDxfId="211">
      <calculatedColumnFormula>'T2'!#REF!</calculatedColumnFormula>
    </tableColumn>
    <tableColumn id="3" xr3:uid="{D4099CA9-E4AC-4AC0-9B46-E1D8D7E09D7F}" name="Afnameklanten op LS met piekmeting (x)" dataDxfId="210">
      <calculatedColumnFormula>'T2'!#REF!</calculatedColumnFormula>
    </tableColumn>
    <tableColumn id="4" xr3:uid="{C94B9080-753E-4A35-919B-18D90A2952B2}" name="Afnameklanten met KM/TT (x)" dataDxfId="209">
      <calculatedColumnFormula>'T2'!#REF!</calculatedColumnFormula>
    </tableColumn>
    <tableColumn id="6" xr3:uid="{3C9F0A16-86C9-4D84-9191-6F9450E10F7F}" name="Afnameklanten op LS met piekmeting (#)" dataDxfId="208">
      <calculatedColumnFormula>'T2'!$Q$91</calculatedColumnFormula>
    </tableColumn>
    <tableColumn id="7" xr3:uid="{D2B48D53-AF01-4B4F-B818-547EDEF02106}" name="Afnameklanten met KM/TT (#)" dataDxfId="207">
      <calculatedColumnFormula>'T2'!$R$91</calculatedColumnFormula>
    </tableColumn>
    <tableColumn id="9" xr3:uid="{F8C817DB-69CA-4500-B163-1C4D2CF5E94D}" name="Afnameklanten op LS met piekmeting (%)" dataDxfId="206">
      <calculatedColumnFormula>IF(ISNUMBER($E46),$E46/SUM($E46:$F46),"")</calculatedColumnFormula>
    </tableColumn>
    <tableColumn id="10" xr3:uid="{45AFAD38-870B-497E-AE04-F753B28ECB2D}" name="Afnameklanten met KM/TT (%)" dataDxfId="205">
      <calculatedColumnFormula>IF(ISNUMBER($F46),$F46/SUM($E46:$F46),"")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ekenvolumes" displayName="Rekenvolumes" ref="A7:Y25" totalsRowShown="0" headerRowDxfId="204" dataDxfId="202" headerRowBorderDxfId="203" tableBorderDxfId="201">
  <autoFilter ref="A7:Y25" xr:uid="{00000000-0009-0000-0100-000006000000}"/>
  <tableColumns count="25">
    <tableColumn id="11" xr3:uid="{00000000-0010-0000-0100-00000B000000}" name="Rekenvolume" dataDxfId="200"/>
    <tableColumn id="26" xr3:uid="{00000000-0010-0000-0100-00001A000000}" name=" " dataDxfId="199"/>
    <tableColumn id="25" xr3:uid="{00000000-0010-0000-0100-000019000000}" name="Totaal rekenvolume" dataDxfId="198">
      <calculatedColumnFormula>SUM(#REF!,#REF!,#REF!,#REF!,$U8:$Y8)</calculatedColumnFormula>
    </tableColumn>
    <tableColumn id="27" xr3:uid="{C05A1819-7413-4E39-8B35-F0B0A8DAA3F3}" name="Afnameklanten (∑)" dataDxfId="197">
      <calculatedColumnFormula>SUM(Rekenvolumes[[#This Row],[Afnameklanten op TRHS (∑)]],Rekenvolumes[[#This Row],[Afnameklanten op MS (∑)]],Rekenvolumes[[#This Row],[Afnameklanten op TRLS (∑)]],Rekenvolumes[[#This Row],[Afnameklanten op LS (∑)]])</calculatedColumnFormula>
    </tableColumn>
    <tableColumn id="2" xr3:uid="{BD60DE24-0567-4AEC-92DF-44884080CC86}" name="Afnameklanten op TRHS (∑)" dataDxfId="196">
      <calculatedColumnFormula>SUM(Rekenvolumes[[#This Row],[Afnameklanten op TRHS]:[Afnameklanten op &gt;26-36 kV met AV ≥ 5MVA]])</calculatedColumnFormula>
    </tableColumn>
    <tableColumn id="13" xr3:uid="{00000000-0010-0000-0100-00000D000000}" name="Afnameklanten op TRHS" dataDxfId="195"/>
    <tableColumn id="12" xr3:uid="{00000000-0010-0000-0100-00000C000000}" name="Afnameklanten op &gt;26-36 kV met AV ≥ 5MVA" dataDxfId="194"/>
    <tableColumn id="3" xr3:uid="{8715114F-B286-4051-B1CC-27958E367E79}" name="Afnameklanten op MS (∑)" dataDxfId="193">
      <calculatedColumnFormula>SUM(Rekenvolumes[[#This Row],[Afnameklanten op &gt;26-36 kV met AV &lt; 5MVA]:[Doorvoer op 26-1kV]])</calculatedColumnFormula>
    </tableColumn>
    <tableColumn id="15" xr3:uid="{00000000-0010-0000-0100-00000F000000}" name="Afnameklanten op &gt;26-36 kV met AV &lt; 5MVA" dataDxfId="192"/>
    <tableColumn id="14" xr3:uid="{00000000-0010-0000-0100-00000E000000}" name="Afnameklanten op 26-1kV" dataDxfId="191"/>
    <tableColumn id="16" xr3:uid="{00000000-0010-0000-0100-000010000000}" name="Doorvoer op 26-1kV" dataDxfId="190"/>
    <tableColumn id="4" xr3:uid="{21B56133-8EAB-496F-917E-B7B3423DEEDB}" name="Afnameklanten op TRLS (∑)" dataDxfId="189">
      <calculatedColumnFormula>SUM(Rekenvolumes[[#This Row],[Afnameklanten op TRLS]])</calculatedColumnFormula>
    </tableColumn>
    <tableColumn id="19" xr3:uid="{00000000-0010-0000-0100-000013000000}" name="Afnameklanten op TRLS" dataDxfId="188"/>
    <tableColumn id="5" xr3:uid="{4EDEFB38-28C1-407D-9D07-4C9AC2A7DE3C}" name="Afnameklanten op LS (∑)" dataDxfId="187">
      <calculatedColumnFormula>SUM(#REF!)</calculatedColumnFormula>
    </tableColumn>
    <tableColumn id="24" xr3:uid="{00000000-0010-0000-0100-000018000000}" name="Afnameklanten op LS met piekmeting" dataDxfId="186"/>
    <tableColumn id="20" xr3:uid="{00000000-0010-0000-0100-000014000000}" name="Doorvoer op LS met piekmeting" dataDxfId="185"/>
    <tableColumn id="23" xr3:uid="{00000000-0010-0000-0100-000017000000}" name="Afnameklanten op LS met klassieke meter" dataDxfId="184"/>
    <tableColumn id="33" xr3:uid="{B0D69B1E-29E0-408B-AAF5-355804E46F5F}" name="Doorvoer op LS zonder piekmeting" dataDxfId="183"/>
    <tableColumn id="22" xr3:uid="{00000000-0010-0000-0100-000016000000}" name="Prosumenten met terugdraaiende teller op LS" dataDxfId="182"/>
    <tableColumn id="6" xr3:uid="{57C605C2-92E5-4112-BAC3-7A9B4A14CE09}" name="Injectieklanten (∑)" dataDxfId="181">
      <calculatedColumnFormula>SUM(Rekenvolumes[[#This Row],[Injectieklanten op TRHS]:[Injectieklanten op LS]])</calculatedColumnFormula>
    </tableColumn>
    <tableColumn id="7" xr3:uid="{00000000-0010-0000-0100-000007000000}" name="Injectieklanten op TRHS" dataDxfId="180"/>
    <tableColumn id="1" xr3:uid="{0A932A16-A3B6-409D-835D-6F543E5F82BC}" name="Injectieklanten op &gt;26-36kV" dataDxfId="179"/>
    <tableColumn id="8" xr3:uid="{00000000-0010-0000-0100-000008000000}" name="Injectieklanten op 26-1kV" dataDxfId="178"/>
    <tableColumn id="9" xr3:uid="{00000000-0010-0000-0100-000009000000}" name="Injectieklanten op TRLS" dataDxfId="177"/>
    <tableColumn id="10" xr3:uid="{00000000-0010-0000-0100-00000A000000}" name="Injectieklanten op LS" dataDxfId="17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2" displayName="Tabel2" ref="A7:S91" totalsRowCount="1" headerRowDxfId="172" dataDxfId="170" totalsRowDxfId="168" headerRowBorderDxfId="171" tableBorderDxfId="169" totalsRowBorderDxfId="167">
  <autoFilter ref="A7:S90" xr:uid="{00000000-0009-0000-0100-000001000000}"/>
  <tableColumns count="19">
    <tableColumn id="2" xr3:uid="{00000000-0010-0000-0200-000002000000}" name="Subactiviteit" dataDxfId="166" totalsRowDxfId="165"/>
    <tableColumn id="3" xr3:uid="{00000000-0010-0000-0200-000003000000}" name="Tariefcomponent" dataDxfId="164" totalsRowDxfId="163"/>
    <tableColumn id="5" xr3:uid="{00000000-0010-0000-0200-000005000000}" name="Kostenindeling 1" dataDxfId="162" totalsRowDxfId="161"/>
    <tableColumn id="6" xr3:uid="{00000000-0010-0000-0200-000006000000}" name="Kostenindeling 2" dataDxfId="160" totalsRowDxfId="159"/>
    <tableColumn id="7" xr3:uid="{00000000-0010-0000-0200-000007000000}" name="Kostenindeling 3" dataDxfId="158" totalsRowDxfId="157"/>
    <tableColumn id="8" xr3:uid="{00000000-0010-0000-0200-000008000000}" name="Kostenindeling 4" dataDxfId="156" totalsRowDxfId="155"/>
    <tableColumn id="9" xr3:uid="{00000000-0010-0000-0200-000009000000}" name="Kostenrubriek" totalsRowLabel="Totaal" dataDxfId="154" totalsRowDxfId="153"/>
    <tableColumn id="38" xr3:uid="{01154727-CD81-489B-808F-810491F6248C}" name="Verdeelsleutel _x000a_energierichtingen" dataDxfId="152" totalsRowDxfId="151"/>
    <tableColumn id="37" xr3:uid="{1308D4D8-7985-469A-A1A7-7C1D8D000CD7}" name="Verdeelsleutel _x000a_spanningsniveaus _x000a_voor afname" dataDxfId="150" totalsRowDxfId="149"/>
    <tableColumn id="17" xr3:uid="{D8F688B1-41AC-46FB-B5A5-5E944D3D1BE8}" name="Verdeelsleutel _x000a_klantengroepen _x000a_voor afname op LS" dataDxfId="148" totalsRowDxfId="147"/>
    <tableColumn id="11" xr3:uid="{00000000-0010-0000-0200-00000B000000}" name="Totale budget" totalsRowFunction="custom" dataDxfId="146" totalsRowDxfId="145">
      <totalsRowFormula>SUBTOTAL(9,K$8:K$90)</totalsRowFormula>
    </tableColumn>
    <tableColumn id="34" xr3:uid="{EDDFCD59-FC15-42F2-86B0-A4A0C095A8F2}" name="Afnameklanten (∑)" totalsRowFunction="custom" dataDxfId="144" totalsRowDxfId="143">
      <calculatedColumnFormula>IF(ISTEXT($H8),INDEX(VDSL1[Afname (%)],MATCH($H8,VDSL1[Verdeelsleutel],0))*$K8,"")</calculatedColumnFormula>
      <totalsRowFormula>SUBTOTAL(9,L$8:L$90)</totalsRowFormula>
    </tableColumn>
    <tableColumn id="12" xr3:uid="{00000000-0010-0000-0200-00000C000000}" name="Afnameklanten op TRHS (∑)" totalsRowFunction="custom" dataDxfId="142" totalsRowDxfId="141">
      <calculatedColumnFormula>IF(ISTEXT($I8),INDEX(VDSL2[TRHS (%)],MATCH($I8,VDSL2[Verdeelsleutel],0))*$L8,"")</calculatedColumnFormula>
      <totalsRowFormula>SUBTOTAL(9,M$8:M$90)</totalsRowFormula>
    </tableColumn>
    <tableColumn id="13" xr3:uid="{00000000-0010-0000-0200-00000D000000}" name="Afnameklanten op MS (∑)" totalsRowFunction="custom" dataDxfId="140" totalsRowDxfId="139">
      <calculatedColumnFormula>IF(ISTEXT($I8),INDEX(VDSL2[MS (%)],MATCH($I8,VDSL2[Verdeelsleutel],0))*$L8,"")</calculatedColumnFormula>
      <totalsRowFormula>SUBTOTAL(9,N$8:N$90)</totalsRowFormula>
    </tableColumn>
    <tableColumn id="14" xr3:uid="{00000000-0010-0000-0200-00000E000000}" name="Afnameklanten op TRLS (∑)" totalsRowFunction="custom" dataDxfId="138" totalsRowDxfId="137">
      <calculatedColumnFormula>IF(ISTEXT($I8),INDEX(VDSL2[TRLS (%)],MATCH($I8,VDSL2[Verdeelsleutel],0))*$L8,"")</calculatedColumnFormula>
      <totalsRowFormula>SUBTOTAL(9,O$8:O$90)</totalsRowFormula>
    </tableColumn>
    <tableColumn id="15" xr3:uid="{00000000-0010-0000-0200-00000F000000}" name="Afnameklanten op LS (∑)" totalsRowFunction="custom" dataDxfId="136" totalsRowDxfId="135">
      <calculatedColumnFormula>IF(ISTEXT($I8),INDEX(VDSL2[LS (%)],MATCH($I8,VDSL2[Verdeelsleutel],0))*$L8,"")</calculatedColumnFormula>
      <totalsRowFormula>SUBTOTAL(9,P$8:P$90)</totalsRowFormula>
    </tableColumn>
    <tableColumn id="16" xr3:uid="{45301845-40B2-4860-8D22-8BDD442A9155}" name="Afnameklanten op LS met piekmeting (∑)" totalsRowFunction="custom" dataDxfId="134" totalsRowDxfId="133">
      <calculatedColumnFormula>IF(ISTEXT($J8),INDEX(VDSL3[Afnameklanten op LS met piekmeting (%)],MATCH($J8,VDSL3[Verdeelsleutel],0))*$P8,"")</calculatedColumnFormula>
      <totalsRowFormula>SUBTOTAL(9,Q$8:Q$90)</totalsRowFormula>
    </tableColumn>
    <tableColumn id="10" xr3:uid="{F8360C65-F225-4E29-9A6E-EEE0454FE501}" name="Afnameklanten met klassieke/terugdraaiende meter (∑)" totalsRowFunction="custom" dataDxfId="132" totalsRowDxfId="131">
      <calculatedColumnFormula>IF(ISTEXT($J8),INDEX(VDSL3[Afnameklanten met KM/TT (%)],MATCH($J8,VDSL3[Verdeelsleutel],0))*$P8,"")</calculatedColumnFormula>
      <totalsRowFormula>SUBTOTAL(9,R$8:R$90)</totalsRowFormula>
    </tableColumn>
    <tableColumn id="33" xr3:uid="{82DED357-9CC0-4288-B496-C2D3A1AC0748}" name="Injectieklanten (∑)" totalsRowFunction="custom" dataDxfId="130" totalsRowDxfId="129">
      <calculatedColumnFormula>IF(ISTEXT($H8),INDEX(VDSL1[Injectie (%)],MATCH($H8,VDSL1[Verdeelsleutel],0))*$K8,"")</calculatedColumnFormula>
      <totalsRowFormula>SUBTOTAL(9,S$8:S$90)</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3A" displayName="Tabel3A" ref="A7:I16" totalsRowCount="1" headerRowDxfId="128" dataDxfId="126" headerRowBorderDxfId="127" tableBorderDxfId="125" totalsRowBorderDxfId="124">
  <autoFilter ref="A7:I15" xr:uid="{00000000-0009-0000-0100-000004000000}"/>
  <tableColumns count="9">
    <tableColumn id="2" xr3:uid="{00000000-0010-0000-0300-000002000000}" name="Tariefcomponent" totalsRowLabel="Totaal" dataDxfId="123" totalsRowDxfId="122"/>
    <tableColumn id="25" xr3:uid="{00000000-0010-0000-0300-000019000000}" name="Totale budget" totalsRowFunction="sum" dataDxfId="121" totalsRowDxfId="120">
      <calculatedColumnFormula>SUMIFS(Tabel2[Totale budget],Tabel2[Tariefcomponent],$A8)</calculatedColumnFormula>
    </tableColumn>
    <tableColumn id="13" xr3:uid="{00000000-0010-0000-0300-00000D000000}" name="Afnameklanten  op TRHS (∑)" totalsRowFunction="sum" dataDxfId="119" totalsRowDxfId="118"/>
    <tableColumn id="14" xr3:uid="{00000000-0010-0000-0300-00000E000000}" name="Afnameklanten op MS (∑)" totalsRowFunction="sum" dataDxfId="117" totalsRowDxfId="116"/>
    <tableColumn id="18" xr3:uid="{00000000-0010-0000-0300-000012000000}" name="Afnameklanten op TRLS (∑)" totalsRowFunction="sum" dataDxfId="115" totalsRowDxfId="114"/>
    <tableColumn id="23" xr3:uid="{00000000-0010-0000-0300-000017000000}" name="Afnameklanten op LS (∑)" totalsRowFunction="sum" dataDxfId="113" totalsRowDxfId="112">
      <calculatedColumnFormula>SUMIFS(Tabel2[Afnameklanten op LS (∑)],Tabel2[Tariefcomponent],$A8)</calculatedColumnFormula>
    </tableColumn>
    <tableColumn id="4" xr3:uid="{E7A65586-71BC-4539-899B-E99675DF5365}" name="Afnameklanten op LS met piekmeting (∑)" totalsRowFunction="sum" dataDxfId="111" totalsRowDxfId="110">
      <calculatedColumnFormula>SUMIFS(Tabel2[Afnameklanten op LS met piekmeting (∑)],Tabel2[Tariefcomponent],$A8)</calculatedColumnFormula>
    </tableColumn>
    <tableColumn id="3" xr3:uid="{002CE854-4F93-4287-A364-26F0F50EA412}" name="Afnameklanten met klassieke/terugdraaiende meter (∑)" totalsRowFunction="sum" dataDxfId="109" totalsRowDxfId="108">
      <calculatedColumnFormula>SUMIFS(Tabel2[Afnameklanten met klassieke/terugdraaiende meter (∑)],Tabel2[Tariefcomponent],$A8)</calculatedColumnFormula>
    </tableColumn>
    <tableColumn id="7" xr3:uid="{00000000-0010-0000-0300-000007000000}" name="Injectieklanten (∑)" totalsRowFunction="sum" dataDxfId="107" totalsRowDxfId="106">
      <calculatedColumnFormula>SUMIFS(Tabel2[Injectieklanten (∑)],Tabel2[Tariefcomponent],$A8)</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4000000}" name="Tabel3B" displayName="Tabel3B" ref="A20:W41" totalsRowShown="0" headerRowDxfId="105" dataDxfId="103" headerRowBorderDxfId="104" tableBorderDxfId="102">
  <autoFilter ref="A20:W41" xr:uid="{00000000-0009-0000-0100-000033000000}"/>
  <tableColumns count="23">
    <tableColumn id="1" xr3:uid="{00000000-0010-0000-0400-000001000000}" name="Tariefcomponent" dataDxfId="101"/>
    <tableColumn id="3" xr3:uid="{00000000-0010-0000-0400-000003000000}" name="Tariefdrager" dataDxfId="100"/>
    <tableColumn id="21" xr3:uid="{6407D34A-1FEB-4691-9F35-5FEB8767DDFB}" name="Afnameklanten op TRHS (∑)" dataDxfId="99">
      <calculatedColumnFormula>$C$8</calculatedColumnFormula>
    </tableColumn>
    <tableColumn id="4" xr3:uid="{00000000-0010-0000-0400-000004000000}" name="Afnameklanten op TRHS" dataDxfId="98">
      <calculatedColumnFormula>$C21</calculatedColumnFormula>
    </tableColumn>
    <tableColumn id="5" xr3:uid="{00000000-0010-0000-0400-000005000000}" name="Afnameklanten op &gt;26-36 kV met AV ≥ 5MVA" dataDxfId="97">
      <calculatedColumnFormula>$C21</calculatedColumnFormula>
    </tableColumn>
    <tableColumn id="22" xr3:uid="{A8FD69D8-7E84-4307-8BB9-A9CC38570735}" name="Afnameklanten op MS (∑)" dataDxfId="96"/>
    <tableColumn id="6" xr3:uid="{00000000-0010-0000-0400-000006000000}" name="Afnameklanten op &gt;26-36 kV met AV &lt; 5MVA" dataDxfId="95">
      <calculatedColumnFormula>$F21</calculatedColumnFormula>
    </tableColumn>
    <tableColumn id="7" xr3:uid="{00000000-0010-0000-0400-000007000000}" name="Afnameklanten op 26-1kV" dataDxfId="94">
      <calculatedColumnFormula>$F21</calculatedColumnFormula>
    </tableColumn>
    <tableColumn id="8" xr3:uid="{00000000-0010-0000-0400-000008000000}" name="Doorvoer op 26-1kV" dataDxfId="93">
      <calculatedColumnFormula>$F21*FACTOR_DOORVOER</calculatedColumnFormula>
    </tableColumn>
    <tableColumn id="23" xr3:uid="{AD3A53F5-7A34-41AF-A4E6-65865290BA3C}" name="Afnameklanten op TRLS (∑)" dataDxfId="92"/>
    <tableColumn id="9" xr3:uid="{00000000-0010-0000-0400-000009000000}" name="Afnameklanten op TRLS" dataDxfId="91">
      <calculatedColumnFormula>$J21</calculatedColumnFormula>
    </tableColumn>
    <tableColumn id="24" xr3:uid="{32B60078-368F-46D4-BEBB-0DF89A122C71}" name="Afnameklanten op LS (∑)" dataDxfId="90">
      <calculatedColumnFormula>TAR_DATA_NIETLS_2021*CPI_JAARMIN1/CPI_2020</calculatedColumnFormula>
    </tableColumn>
    <tableColumn id="12" xr3:uid="{00000000-0010-0000-0400-00000C000000}" name="Afnameklanten op LS met piekmeting" dataDxfId="89">
      <calculatedColumnFormula>PROCENT_GEMMP*$G$8/(INDEX(Rekenvolumes[Afnameklanten op LS met piekmeting],11)+FACTOR_DOORVOER*INDEX(Rekenvolumes[Doorvoer op LS met piekmeting],11))</calculatedColumnFormula>
    </tableColumn>
    <tableColumn id="16" xr3:uid="{00000000-0010-0000-0400-000010000000}" name="Doorvoer op LS met piekmeting" dataDxfId="88">
      <calculatedColumnFormula>FACTOR_DOORVOER*Tabel3B[[#This Row],[Afnameklanten op LS met piekmeting]]</calculatedColumnFormula>
    </tableColumn>
    <tableColumn id="13" xr3:uid="{00000000-0010-0000-0400-00000D000000}" name="Afnameklanten op LS met klassieke meter" dataDxfId="87">
      <calculatedColumnFormula>FACTOR_VAST*$M$24</calculatedColumnFormula>
    </tableColumn>
    <tableColumn id="2" xr3:uid="{749FA047-111C-4A1B-A5F2-D5854A3974DF}" name="Doorvoer op LS zonder piekmeting" dataDxfId="86">
      <calculatedColumnFormula>FACTOR_DOORVOER*Tabel3B[[#This Row],[Afnameklanten op LS met klassieke meter]]</calculatedColumnFormula>
    </tableColumn>
    <tableColumn id="14" xr3:uid="{00000000-0010-0000-0400-00000E000000}" name="Prosumenten met terugdraaiende teller op LS" dataDxfId="85"/>
    <tableColumn id="26" xr3:uid="{987AC7C9-0FFF-4C04-B18C-A086F0CC070F}" name="Injectieklanten (∑)" dataDxfId="84"/>
    <tableColumn id="17" xr3:uid="{00000000-0010-0000-0400-000011000000}" name="Injectieklanten op TRHS" dataDxfId="83"/>
    <tableColumn id="25" xr3:uid="{4FF3EE05-888E-4414-A76B-6E0C988EFF5A}" name="Injectieklanten  op &gt;26-36kV" dataDxfId="82">
      <calculatedColumnFormula>$R21</calculatedColumnFormula>
    </tableColumn>
    <tableColumn id="18" xr3:uid="{00000000-0010-0000-0400-000012000000}" name="Injectieklanten op 26-1kV" dataDxfId="81"/>
    <tableColumn id="19" xr3:uid="{00000000-0010-0000-0400-000013000000}" name="Injectieklanten op TRLS" dataDxfId="80"/>
    <tableColumn id="20" xr3:uid="{00000000-0010-0000-0400-000014000000}" name="Injectieklanten op LS"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1CCEA5-58EF-4FFF-8E16-5CE906AE7AEE}" name="Tabel4B" displayName="Tabel4B" ref="A7:W28" totalsRowShown="0" headerRowDxfId="78" dataDxfId="76" headerRowBorderDxfId="77" tableBorderDxfId="75">
  <autoFilter ref="A7:W28" xr:uid="{E33C784A-2A6C-4F72-82CC-B0543553988A}"/>
  <tableColumns count="23">
    <tableColumn id="1" xr3:uid="{0B55ADE3-0E9B-4EDD-99D8-8017B780DA54}" name="Tariefcomponent" dataDxfId="74"/>
    <tableColumn id="2" xr3:uid="{C2FA8F07-06DD-4730-86FD-DD99C3FB675D}" name="Tariefdrager" dataDxfId="73"/>
    <tableColumn id="3" xr3:uid="{07ED57C0-63C5-414D-B7BC-4EBAEBF2B275}" name="Afnameklanten op TRHS (∑)" dataDxfId="72">
      <calculatedColumnFormula>INDEX(Tabel3B[Afnameklanten op TRHS (∑)],3)</calculatedColumnFormula>
    </tableColumn>
    <tableColumn id="21" xr3:uid="{540063E0-0233-44A1-AC6A-0189143B9A14}" name="Afnameklanten op TRHS" dataDxfId="71"/>
    <tableColumn id="4" xr3:uid="{4EBE2D4B-BE55-43F4-BA07-5CB78E09B564}" name="Afnameklanten op &gt;26-36 kV met AV ≥ 5MVA" dataDxfId="70"/>
    <tableColumn id="5" xr3:uid="{31D08308-1B70-4960-B284-F7BA8BB4818E}" name="Afnameklanten op MS (∑)" dataDxfId="69"/>
    <tableColumn id="22" xr3:uid="{697B39DA-3513-463A-B0AC-67E863D8337F}" name="Afnameklanten op &gt;26-36 kV met AV &lt; 5MVA" dataDxfId="68"/>
    <tableColumn id="6" xr3:uid="{5B87BFDC-11F1-487D-BDD4-79AB22ED9C40}" name="Afnameklanten op 26-1kV" dataDxfId="67"/>
    <tableColumn id="7" xr3:uid="{B6DAF900-FB78-4188-8B20-D6B82C238495}" name="Doorvoer op 26-1kV" dataDxfId="66"/>
    <tableColumn id="8" xr3:uid="{2ADE7398-0B48-4E0D-8D78-DF6F0B72A896}" name="Afnameklanten op TRLS (∑)" dataDxfId="65"/>
    <tableColumn id="23" xr3:uid="{1763D612-4031-497B-8BFA-C9A75C17F9E0}" name="Afnameklanten op TRLS" dataDxfId="64"/>
    <tableColumn id="11" xr3:uid="{D236380C-388E-4B15-B394-08D1ACA4BAE9}" name="Afnameklanten op LS (∑)" dataDxfId="63">
      <calculatedColumnFormula>INDEX(Tabel3B[Afnameklanten op LS (∑)],9)</calculatedColumnFormula>
    </tableColumn>
    <tableColumn id="24" xr3:uid="{E7029C0C-920B-466B-958F-88A4D88EBA5D}" name="Afnameklanten op LS met piekmeting" dataDxfId="62"/>
    <tableColumn id="12" xr3:uid="{60668DC5-F0A8-4C24-BA72-8A550C7C26A1}" name="Doorvoer op LS met piekmeting" dataDxfId="61"/>
    <tableColumn id="16" xr3:uid="{8BBB0441-83B6-40F4-95C2-6E693E386771}" name="Afnameklanten op LS met klassieke meter" dataDxfId="60"/>
    <tableColumn id="20" xr3:uid="{F0033DB6-9516-4A19-BE2B-0F7ACB9FCC7D}" name="Doorvoer op LS zonder piekmeting" dataDxfId="59"/>
    <tableColumn id="13" xr3:uid="{6817B3F3-E687-450C-A60D-E96FE584E09B}" name="Prosumenten met terugdraaiende teller op LS" dataDxfId="58"/>
    <tableColumn id="15" xr3:uid="{E7D109DE-EEBC-49A1-892A-494A81081A41}" name="Injectieklanten (∑)" dataDxfId="57"/>
    <tableColumn id="26" xr3:uid="{93FA5261-A8D9-4784-A11D-129A4326DC52}" name="Injectieklanten op TRHS" dataDxfId="56"/>
    <tableColumn id="17" xr3:uid="{8146F787-C4A3-4E83-9AE9-1D83EB7387CB}" name="Injectieklanten  op &gt;26-36kV" dataDxfId="55"/>
    <tableColumn id="25" xr3:uid="{83F2482B-1626-47F1-9DDC-287162F035F4}" name="Injectieklanten op 26-1kV" dataDxfId="54"/>
    <tableColumn id="18" xr3:uid="{31A60431-CFB2-445E-9C41-71FE552A320B}" name="Injectieklanten op TRLS" dataDxfId="53"/>
    <tableColumn id="19" xr3:uid="{3C2C58AD-92B1-4F82-A791-667C94369C21}" name="Injectieklanten op LS" dataDxfId="5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6000000}" name="Tabel4A" displayName="Tabel4A" ref="A32:W42" totalsRowCount="1" headerRowDxfId="51" dataDxfId="49" totalsRowDxfId="47" headerRowBorderDxfId="50" tableBorderDxfId="48" totalsRowBorderDxfId="46">
  <autoFilter ref="A32:W41" xr:uid="{00000000-0009-0000-0100-000040000000}"/>
  <tableColumns count="23">
    <tableColumn id="2" xr3:uid="{00000000-0010-0000-0600-000002000000}" name="Tariefcomponent" totalsRowLabel="Totaal" dataDxfId="45" totalsRowDxfId="44"/>
    <tableColumn id="25" xr3:uid="{00000000-0010-0000-0600-000019000000}" name="Totale budget" totalsRowFunction="sum" dataDxfId="43" totalsRowDxfId="42">
      <calculatedColumnFormula>SUM(Tabel4A[[#This Row],[Afnameklanten op TRHS (∑)]],Tabel4A[[#This Row],[Afnameklanten op MS (∑)]],Tabel4A[[#This Row],[Afnameklanten op TRLS (∑)]],Tabel4A[[#This Row],[Afnameklanten op LS (∑)]],Tabel4A[[#This Row],[Injectieklanten (∑)]])</calculatedColumnFormula>
    </tableColumn>
    <tableColumn id="13" xr3:uid="{00000000-0010-0000-0600-00000D000000}" name="Afnameklanten op TRHS (∑)" totalsRowFunction="sum" dataDxfId="41" totalsRowDxfId="40">
      <calculatedColumnFormula>SUM(Tabel4A[[#This Row],[Afnameklanten op TRHS]:[Afnameklanten op &gt;26-36 kV met AV ≥ 5MVA]])</calculatedColumnFormula>
    </tableColumn>
    <tableColumn id="12" xr3:uid="{00000000-0010-0000-0600-00000C000000}" name="Afnameklanten op TRHS" totalsRowFunction="sum" dataDxfId="39" totalsRowDxfId="38">
      <calculatedColumnFormula>E$8*REKENVOLUMES!G$15+E$9*REKENVOLUMES!G$16+E$10*REKENVOLUMES!G$17-MAXIMUM!$E10</calculatedColumnFormula>
    </tableColumn>
    <tableColumn id="15" xr3:uid="{00000000-0010-0000-0600-00000F000000}" name="Afnameklanten op &gt;26-36 kV met AV ≥ 5MVA" totalsRowFunction="sum" dataDxfId="37" totalsRowDxfId="36"/>
    <tableColumn id="14" xr3:uid="{00000000-0010-0000-0600-00000E000000}" name="Afnameklanten op MS (∑)" totalsRowFunction="sum" dataDxfId="35" totalsRowDxfId="34">
      <calculatedColumnFormula>SUM(Tabel4A[[#This Row],[Afnameklanten op &gt;26-36 kV met AV &lt; 5MVA]:[Doorvoer op 26-1kV]])</calculatedColumnFormula>
    </tableColumn>
    <tableColumn id="16" xr3:uid="{00000000-0010-0000-0600-000010000000}" name="Afnameklanten op &gt;26-36 kV met AV &lt; 5MVA" totalsRowFunction="sum" dataDxfId="33" totalsRowDxfId="32"/>
    <tableColumn id="19" xr3:uid="{00000000-0010-0000-0600-000013000000}" name="Afnameklanten op 26-1kV" totalsRowFunction="sum" dataDxfId="31" totalsRowDxfId="30"/>
    <tableColumn id="18" xr3:uid="{00000000-0010-0000-0600-000012000000}" name="Doorvoer op 26-1kV" totalsRowFunction="sum" dataDxfId="29" totalsRowDxfId="28"/>
    <tableColumn id="17" xr3:uid="{00000000-0010-0000-0600-000011000000}" name="Afnameklanten op TRLS (∑)" totalsRowFunction="sum" dataDxfId="27" totalsRowDxfId="26">
      <calculatedColumnFormula>SUM(#REF!)</calculatedColumnFormula>
    </tableColumn>
    <tableColumn id="24" xr3:uid="{00000000-0010-0000-0600-000018000000}" name="Afnameklanten op TRLS" totalsRowFunction="sum" dataDxfId="25" totalsRowDxfId="24"/>
    <tableColumn id="21" xr3:uid="{00000000-0010-0000-0600-000015000000}" name="Afnameklanten op LS (∑)" totalsRowFunction="sum" dataDxfId="23" totalsRowDxfId="22">
      <calculatedColumnFormula>SUM(#REF!)</calculatedColumnFormula>
    </tableColumn>
    <tableColumn id="20" xr3:uid="{00000000-0010-0000-0600-000014000000}" name="Afnameklanten op LS met piekmeting" totalsRowFunction="sum" dataDxfId="21" totalsRowDxfId="20">
      <calculatedColumnFormula>$M$11*INDEX(Rekenvolumes[Afnameklanten op LS met piekmeting],11)+$M$13*(INDEX(Rekenvolumes[Afnameklanten op LS met piekmeting],12)+INDEX(Rekenvolumes[Afnameklanten op LS met piekmeting],13)+INDEX(Rekenvolumes[Afnameklanten op LS met piekmeting],14))-MAXIMUM!$E$15</calculatedColumnFormula>
    </tableColumn>
    <tableColumn id="7" xr3:uid="{00000000-0010-0000-0600-000007000000}" name="Doorvoer op LS met piekmeting" totalsRowFunction="sum" dataDxfId="19" totalsRowDxfId="18">
      <calculatedColumnFormula>$M$11*INDEX(Rekenvolumes[Doorvoer op LS met piekmeting],11)+$M$13*(INDEX(Rekenvolumes[Doorvoer op LS met piekmeting],12)+INDEX(Rekenvolumes[Doorvoer op LS met piekmeting],13)+INDEX(Rekenvolumes[Doorvoer op LS met piekmeting],14))-MAXIMUM!$E$16</calculatedColumnFormula>
    </tableColumn>
    <tableColumn id="8" xr3:uid="{00000000-0010-0000-0600-000008000000}" name="Afnameklanten op LS met klassieke meter" totalsRowFunction="sum" dataDxfId="17" totalsRowDxfId="16">
      <calculatedColumnFormula>Q$14*REKENVOLUMES!W$22-MAXIMUM!$E23</calculatedColumnFormula>
    </tableColumn>
    <tableColumn id="26" xr3:uid="{34B7829D-8D4B-4754-9DF9-25399D7A844E}" name="Doorvoer op LS zonder piekmeting" totalsRowFunction="sum" dataDxfId="15" totalsRowDxfId="14"/>
    <tableColumn id="9" xr3:uid="{00000000-0010-0000-0600-000009000000}" name="Prosumenten met terugdraaiende teller op LS" totalsRowFunction="sum" dataDxfId="13" totalsRowDxfId="12">
      <calculatedColumnFormula>#REF!*REKENVOLUMES!X$22-MAXIMUM!$E24</calculatedColumnFormula>
    </tableColumn>
    <tableColumn id="1" xr3:uid="{B6D7B13F-DADB-4C3C-B303-A1A08B5A6DFA}" name="Injectieklanten (∑)" totalsRowFunction="sum" dataDxfId="11" totalsRowDxfId="10">
      <calculatedColumnFormula>SUM(Tabel4A[[#This Row],[Injectieklanten op TRHS]:[Injectieklanten op LS]])</calculatedColumnFormula>
    </tableColumn>
    <tableColumn id="3" xr3:uid="{F9E1F0FD-3C0D-4E8D-A4CB-C3C90C6111EA}" name="Injectieklanten op TRHS" totalsRowFunction="sum" dataDxfId="9" totalsRowDxfId="8">
      <calculatedColumnFormula>$S$14*INDEX(Rekenvolumes[Injectieklanten op TRHS],15)-MAXIMUM!$E$21</calculatedColumnFormula>
    </tableColumn>
    <tableColumn id="4" xr3:uid="{5F133A90-7193-4D45-8E5E-35735C10227B}" name="Injectieklanten  op &gt;26-36kV" totalsRowFunction="sum" dataDxfId="7" totalsRowDxfId="6"/>
    <tableColumn id="5" xr3:uid="{3DABB390-CE23-4845-9779-01EF0BE72AB1}" name="Injectieklanten op 26-1kV" totalsRowFunction="sum" dataDxfId="5" totalsRowDxfId="4"/>
    <tableColumn id="6" xr3:uid="{49A1BBFF-BA6C-4CB0-8C58-818DA7C283A6}" name="Injectieklanten op TRLS" totalsRowFunction="sum" dataDxfId="3" totalsRowDxfId="2"/>
    <tableColumn id="11" xr3:uid="{91B5A4E2-7933-4949-95EE-683F1E224319}" name="Injectieklanten op LS" totalsRowFunction="sum" dataDxfId="1" totalsRowDxfId="0"/>
  </tableColumns>
  <tableStyleInfo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74"/>
  <sheetViews>
    <sheetView showGridLines="0" tabSelected="1" zoomScaleNormal="100" zoomScaleSheetLayoutView="30" workbookViewId="0">
      <selection activeCell="I12" sqref="I12"/>
    </sheetView>
  </sheetViews>
  <sheetFormatPr defaultColWidth="10.7265625" defaultRowHeight="15" customHeight="1"/>
  <cols>
    <col min="1" max="16384" width="10.7265625" style="8"/>
  </cols>
  <sheetData>
    <row r="1" spans="1:12" ht="15" customHeight="1">
      <c r="B1" s="9"/>
      <c r="C1" s="10"/>
    </row>
    <row r="2" spans="1:12" s="11" customFormat="1" ht="30" customHeight="1">
      <c r="A2" s="1403" t="s">
        <v>159</v>
      </c>
      <c r="B2" s="1403"/>
      <c r="C2" s="1403"/>
      <c r="D2" s="1403"/>
      <c r="E2" s="1403"/>
      <c r="F2" s="1403"/>
      <c r="G2" s="1403"/>
      <c r="H2" s="1403"/>
      <c r="I2" s="1403"/>
      <c r="J2" s="1403"/>
      <c r="K2" s="1403"/>
      <c r="L2" s="1403"/>
    </row>
    <row r="3" spans="1:12" ht="15" customHeight="1">
      <c r="B3" s="9"/>
      <c r="C3" s="10"/>
    </row>
    <row r="4" spans="1:12" ht="15" customHeight="1">
      <c r="B4" s="9"/>
      <c r="C4" s="10"/>
    </row>
    <row r="5" spans="1:12" ht="15" customHeight="1" thickBot="1">
      <c r="B5" s="9"/>
    </row>
    <row r="6" spans="1:12" ht="15" customHeight="1" thickBot="1">
      <c r="B6" s="9" t="s">
        <v>0</v>
      </c>
      <c r="F6" s="1408" t="s">
        <v>22</v>
      </c>
      <c r="G6" s="1409"/>
      <c r="H6" s="1409"/>
      <c r="I6" s="1410"/>
    </row>
    <row r="7" spans="1:12" ht="15" customHeight="1" thickBot="1">
      <c r="B7" s="9" t="s">
        <v>1</v>
      </c>
      <c r="F7" s="1408"/>
      <c r="G7" s="1409"/>
      <c r="H7" s="1409"/>
      <c r="I7" s="1410"/>
    </row>
    <row r="8" spans="1:12" s="4" customFormat="1" ht="15" customHeight="1" thickBot="1">
      <c r="B8" s="13"/>
      <c r="F8" s="14"/>
      <c r="G8" s="14"/>
      <c r="H8" s="14"/>
      <c r="I8" s="14"/>
    </row>
    <row r="9" spans="1:12" ht="15" customHeight="1" thickBot="1">
      <c r="B9" s="15" t="s">
        <v>2</v>
      </c>
      <c r="F9" s="9"/>
      <c r="H9" s="15" t="s">
        <v>3</v>
      </c>
      <c r="I9" s="16">
        <v>2021</v>
      </c>
    </row>
    <row r="10" spans="1:12" ht="15" customHeight="1" thickBot="1">
      <c r="B10" s="15"/>
      <c r="F10" s="9"/>
      <c r="H10" s="15" t="s">
        <v>4</v>
      </c>
      <c r="I10" s="16">
        <v>2024</v>
      </c>
    </row>
    <row r="11" spans="1:12" ht="15" customHeight="1" thickBot="1">
      <c r="B11" s="17"/>
      <c r="F11" s="10"/>
    </row>
    <row r="12" spans="1:12" ht="15" customHeight="1" thickBot="1">
      <c r="B12" s="9" t="s">
        <v>225</v>
      </c>
      <c r="F12" s="10"/>
      <c r="I12" s="12">
        <v>2022</v>
      </c>
    </row>
    <row r="13" spans="1:12" ht="15" customHeight="1">
      <c r="B13" s="17"/>
      <c r="C13" s="10"/>
    </row>
    <row r="14" spans="1:12" ht="15" customHeight="1">
      <c r="B14" s="17"/>
      <c r="C14" s="10"/>
    </row>
    <row r="16" spans="1:12" ht="15" customHeight="1">
      <c r="A16" s="1404" t="s">
        <v>160</v>
      </c>
      <c r="B16" s="1405"/>
      <c r="C16" s="1405"/>
      <c r="D16" s="1405"/>
      <c r="E16" s="1405"/>
      <c r="F16" s="1405"/>
      <c r="G16" s="1405"/>
      <c r="H16" s="1405"/>
      <c r="I16" s="1405"/>
      <c r="J16" s="1405"/>
      <c r="K16" s="1405"/>
      <c r="L16" s="1406"/>
    </row>
    <row r="17" spans="1:12" ht="15" customHeight="1">
      <c r="A17" s="18"/>
    </row>
    <row r="18" spans="1:12" ht="15" customHeight="1">
      <c r="A18" s="1407" t="s">
        <v>329</v>
      </c>
      <c r="B18" s="1407"/>
      <c r="C18" s="1407"/>
      <c r="D18" s="1407"/>
      <c r="E18" s="1407"/>
      <c r="F18" s="1407"/>
      <c r="G18" s="1407"/>
      <c r="H18" s="1407"/>
      <c r="I18" s="1407"/>
      <c r="J18" s="1407"/>
      <c r="K18" s="1407"/>
      <c r="L18" s="1407"/>
    </row>
    <row r="19" spans="1:12" ht="15" customHeight="1">
      <c r="A19" s="1407"/>
      <c r="B19" s="1407"/>
      <c r="C19" s="1407"/>
      <c r="D19" s="1407"/>
      <c r="E19" s="1407"/>
      <c r="F19" s="1407"/>
      <c r="G19" s="1407"/>
      <c r="H19" s="1407"/>
      <c r="I19" s="1407"/>
      <c r="J19" s="1407"/>
      <c r="K19" s="1407"/>
      <c r="L19" s="1407"/>
    </row>
    <row r="20" spans="1:12" ht="15" customHeight="1">
      <c r="A20" s="1407"/>
      <c r="B20" s="1407"/>
      <c r="C20" s="1407"/>
      <c r="D20" s="1407"/>
      <c r="E20" s="1407"/>
      <c r="F20" s="1407"/>
      <c r="G20" s="1407"/>
      <c r="H20" s="1407"/>
      <c r="I20" s="1407"/>
      <c r="J20" s="1407"/>
      <c r="K20" s="1407"/>
      <c r="L20" s="1407"/>
    </row>
    <row r="21" spans="1:12" ht="15" customHeight="1">
      <c r="A21" s="1407"/>
      <c r="B21" s="1407"/>
      <c r="C21" s="1407"/>
      <c r="D21" s="1407"/>
      <c r="E21" s="1407"/>
      <c r="F21" s="1407"/>
      <c r="G21" s="1407"/>
      <c r="H21" s="1407"/>
      <c r="I21" s="1407"/>
      <c r="J21" s="1407"/>
      <c r="K21" s="1407"/>
      <c r="L21" s="1407"/>
    </row>
    <row r="22" spans="1:12" ht="15" customHeight="1">
      <c r="A22" s="1407"/>
      <c r="B22" s="1407"/>
      <c r="C22" s="1407"/>
      <c r="D22" s="1407"/>
      <c r="E22" s="1407"/>
      <c r="F22" s="1407"/>
      <c r="G22" s="1407"/>
      <c r="H22" s="1407"/>
      <c r="I22" s="1407"/>
      <c r="J22" s="1407"/>
      <c r="K22" s="1407"/>
      <c r="L22" s="1407"/>
    </row>
    <row r="23" spans="1:12" ht="15" customHeight="1">
      <c r="A23" s="1407"/>
      <c r="B23" s="1407"/>
      <c r="C23" s="1407"/>
      <c r="D23" s="1407"/>
      <c r="E23" s="1407"/>
      <c r="F23" s="1407"/>
      <c r="G23" s="1407"/>
      <c r="H23" s="1407"/>
      <c r="I23" s="1407"/>
      <c r="J23" s="1407"/>
      <c r="K23" s="1407"/>
      <c r="L23" s="1407"/>
    </row>
    <row r="24" spans="1:12" ht="15" customHeight="1">
      <c r="A24" s="1407"/>
      <c r="B24" s="1407"/>
      <c r="C24" s="1407"/>
      <c r="D24" s="1407"/>
      <c r="E24" s="1407"/>
      <c r="F24" s="1407"/>
      <c r="G24" s="1407"/>
      <c r="H24" s="1407"/>
      <c r="I24" s="1407"/>
      <c r="J24" s="1407"/>
      <c r="K24" s="1407"/>
      <c r="L24" s="1407"/>
    </row>
    <row r="25" spans="1:12" ht="15" customHeight="1">
      <c r="A25" s="1407"/>
      <c r="B25" s="1407"/>
      <c r="C25" s="1407"/>
      <c r="D25" s="1407"/>
      <c r="E25" s="1407"/>
      <c r="F25" s="1407"/>
      <c r="G25" s="1407"/>
      <c r="H25" s="1407"/>
      <c r="I25" s="1407"/>
      <c r="J25" s="1407"/>
      <c r="K25" s="1407"/>
      <c r="L25" s="1407"/>
    </row>
    <row r="26" spans="1:12" ht="15" customHeight="1">
      <c r="A26" s="1407"/>
      <c r="B26" s="1407"/>
      <c r="C26" s="1407"/>
      <c r="D26" s="1407"/>
      <c r="E26" s="1407"/>
      <c r="F26" s="1407"/>
      <c r="G26" s="1407"/>
      <c r="H26" s="1407"/>
      <c r="I26" s="1407"/>
      <c r="J26" s="1407"/>
      <c r="K26" s="1407"/>
      <c r="L26" s="1407"/>
    </row>
    <row r="27" spans="1:12" ht="15" customHeight="1">
      <c r="A27" s="1407"/>
      <c r="B27" s="1407"/>
      <c r="C27" s="1407"/>
      <c r="D27" s="1407"/>
      <c r="E27" s="1407"/>
      <c r="F27" s="1407"/>
      <c r="G27" s="1407"/>
      <c r="H27" s="1407"/>
      <c r="I27" s="1407"/>
      <c r="J27" s="1407"/>
      <c r="K27" s="1407"/>
      <c r="L27" s="1407"/>
    </row>
    <row r="28" spans="1:12" s="20" customFormat="1" ht="15" customHeight="1"/>
    <row r="29" spans="1:12" ht="15" customHeight="1">
      <c r="A29" s="1404" t="s">
        <v>161</v>
      </c>
      <c r="B29" s="1405"/>
      <c r="C29" s="1405"/>
      <c r="D29" s="1405"/>
      <c r="E29" s="1405"/>
      <c r="F29" s="1405"/>
      <c r="G29" s="1405"/>
      <c r="H29" s="1405"/>
      <c r="I29" s="1405"/>
      <c r="J29" s="1405"/>
      <c r="K29" s="1405"/>
      <c r="L29" s="1406"/>
    </row>
    <row r="30" spans="1:12" ht="15" customHeight="1">
      <c r="A30" s="615"/>
      <c r="B30" s="615"/>
      <c r="C30" s="615"/>
      <c r="D30" s="615"/>
      <c r="E30" s="615"/>
      <c r="F30" s="615"/>
      <c r="G30" s="615"/>
      <c r="H30" s="615"/>
      <c r="I30" s="615"/>
      <c r="J30" s="615"/>
      <c r="K30" s="615"/>
      <c r="L30" s="615"/>
    </row>
    <row r="31" spans="1:12" s="18" customFormat="1" ht="15" customHeight="1">
      <c r="A31" s="21"/>
      <c r="B31" s="21"/>
      <c r="C31" s="8"/>
      <c r="D31" s="8"/>
      <c r="E31" s="8"/>
      <c r="F31" s="8"/>
      <c r="G31" s="8"/>
      <c r="H31" s="8"/>
      <c r="I31" s="8"/>
      <c r="J31" s="8"/>
      <c r="K31" s="8"/>
      <c r="L31" s="8"/>
    </row>
    <row r="32" spans="1:12" ht="15" customHeight="1">
      <c r="A32" s="21"/>
      <c r="B32" s="88"/>
      <c r="D32" s="8" t="s">
        <v>280</v>
      </c>
    </row>
    <row r="33" spans="1:12" ht="15" customHeight="1">
      <c r="A33" s="21"/>
      <c r="B33" s="22"/>
    </row>
    <row r="34" spans="1:12" ht="15" customHeight="1">
      <c r="A34" s="21"/>
      <c r="B34" s="23"/>
      <c r="C34" s="24"/>
      <c r="D34" s="25" t="s">
        <v>5</v>
      </c>
    </row>
    <row r="35" spans="1:12" ht="15" customHeight="1">
      <c r="A35" s="21"/>
      <c r="B35" s="26"/>
    </row>
    <row r="36" spans="1:12" ht="15" customHeight="1">
      <c r="A36" s="21"/>
      <c r="B36" s="135"/>
      <c r="D36" s="8" t="s">
        <v>281</v>
      </c>
    </row>
    <row r="37" spans="1:12" ht="15" customHeight="1">
      <c r="A37" s="21"/>
      <c r="B37" s="21"/>
    </row>
    <row r="38" spans="1:12" s="4" customFormat="1" ht="15" customHeight="1">
      <c r="A38" s="27"/>
      <c r="B38" s="28"/>
      <c r="D38" s="29" t="s">
        <v>19</v>
      </c>
      <c r="E38" s="30"/>
      <c r="F38" s="30"/>
      <c r="G38" s="30"/>
      <c r="H38" s="30"/>
      <c r="I38" s="30"/>
      <c r="J38" s="30"/>
      <c r="K38" s="30"/>
    </row>
    <row r="39" spans="1:12" s="4" customFormat="1" ht="15" customHeight="1">
      <c r="A39" s="27"/>
      <c r="B39" s="27"/>
      <c r="D39" s="30"/>
      <c r="E39" s="30"/>
      <c r="F39" s="30"/>
      <c r="G39" s="30"/>
      <c r="H39" s="30"/>
      <c r="I39" s="30"/>
      <c r="J39" s="30"/>
      <c r="K39" s="30"/>
    </row>
    <row r="41" spans="1:12" s="18" customFormat="1" ht="15" customHeight="1">
      <c r="A41" s="1404" t="s">
        <v>162</v>
      </c>
      <c r="B41" s="1405"/>
      <c r="C41" s="1405"/>
      <c r="D41" s="1405"/>
      <c r="E41" s="1405"/>
      <c r="F41" s="1405"/>
      <c r="G41" s="1405"/>
      <c r="H41" s="1405"/>
      <c r="I41" s="1405"/>
      <c r="J41" s="1405"/>
      <c r="K41" s="1405"/>
      <c r="L41" s="1406"/>
    </row>
    <row r="42" spans="1:12" ht="15" customHeight="1">
      <c r="A42" s="18"/>
      <c r="B42" s="18"/>
      <c r="C42" s="18"/>
      <c r="D42" s="18"/>
      <c r="E42" s="18"/>
      <c r="F42" s="18"/>
      <c r="G42" s="18"/>
      <c r="H42" s="18"/>
      <c r="I42" s="18"/>
      <c r="J42" s="18"/>
      <c r="K42" s="18"/>
      <c r="L42" s="18"/>
    </row>
    <row r="43" spans="1:12" ht="15" customHeight="1">
      <c r="A43" s="223" t="s">
        <v>224</v>
      </c>
      <c r="B43" s="18"/>
      <c r="C43" s="18"/>
      <c r="D43" s="18"/>
      <c r="E43" s="18"/>
      <c r="F43" s="18"/>
      <c r="G43" s="18"/>
      <c r="H43" s="18"/>
      <c r="I43" s="18"/>
      <c r="J43" s="18"/>
      <c r="K43" s="18"/>
      <c r="L43" s="18"/>
    </row>
    <row r="44" spans="1:12" ht="15" customHeight="1">
      <c r="A44" s="18"/>
      <c r="B44" s="18"/>
      <c r="C44" s="18"/>
      <c r="D44" s="18"/>
      <c r="E44" s="18"/>
      <c r="F44" s="18"/>
      <c r="G44" s="18"/>
      <c r="H44" s="18"/>
      <c r="I44" s="18"/>
      <c r="J44" s="18"/>
      <c r="K44" s="18"/>
      <c r="L44" s="18"/>
    </row>
    <row r="45" spans="1:12" s="9" customFormat="1" ht="15" customHeight="1">
      <c r="A45" s="37" t="s">
        <v>163</v>
      </c>
      <c r="B45" s="32"/>
    </row>
    <row r="46" spans="1:12" ht="15" customHeight="1">
      <c r="A46" s="37" t="s">
        <v>170</v>
      </c>
    </row>
    <row r="47" spans="1:12" ht="15" customHeight="1">
      <c r="A47" s="37" t="s">
        <v>171</v>
      </c>
    </row>
    <row r="48" spans="1:12" ht="15" customHeight="1">
      <c r="A48" s="37" t="s">
        <v>130</v>
      </c>
    </row>
    <row r="49" spans="1:23" ht="15" customHeight="1">
      <c r="A49" s="37" t="s">
        <v>337</v>
      </c>
    </row>
    <row r="50" spans="1:23" ht="15" customHeight="1">
      <c r="A50" s="37" t="s">
        <v>338</v>
      </c>
    </row>
    <row r="51" spans="1:23" ht="15" customHeight="1">
      <c r="A51" s="37" t="s">
        <v>339</v>
      </c>
    </row>
    <row r="52" spans="1:23" ht="15" customHeight="1">
      <c r="A52" s="37" t="s">
        <v>340</v>
      </c>
    </row>
    <row r="53" spans="1:23" ht="15" customHeight="1">
      <c r="A53" s="37" t="s">
        <v>145</v>
      </c>
    </row>
    <row r="54" spans="1:23" ht="15" customHeight="1">
      <c r="A54" s="38" t="s">
        <v>164</v>
      </c>
    </row>
    <row r="55" spans="1:23" ht="15" customHeight="1">
      <c r="A55" s="38" t="s">
        <v>169</v>
      </c>
      <c r="B55" s="103"/>
      <c r="C55" s="103"/>
      <c r="D55" s="103"/>
      <c r="E55" s="103"/>
    </row>
    <row r="56" spans="1:23" ht="15" customHeight="1">
      <c r="A56" s="38" t="s">
        <v>221</v>
      </c>
    </row>
    <row r="57" spans="1:23" ht="15" customHeight="1">
      <c r="A57" s="38" t="s">
        <v>222</v>
      </c>
    </row>
    <row r="58" spans="1:23" ht="15" customHeight="1">
      <c r="A58" s="18"/>
    </row>
    <row r="59" spans="1:23" ht="15" customHeight="1">
      <c r="A59" s="223" t="s">
        <v>527</v>
      </c>
    </row>
    <row r="60" spans="1:23" ht="15" customHeight="1">
      <c r="A60" s="18"/>
    </row>
    <row r="61" spans="1:23" ht="15" customHeight="1">
      <c r="A61" s="38" t="s">
        <v>385</v>
      </c>
    </row>
    <row r="62" spans="1:23" ht="15" customHeight="1">
      <c r="A62" s="38" t="s">
        <v>484</v>
      </c>
      <c r="B62" s="31"/>
      <c r="C62" s="31"/>
      <c r="D62" s="31"/>
      <c r="E62" s="31"/>
      <c r="F62" s="31"/>
      <c r="G62" s="31"/>
      <c r="H62" s="32"/>
    </row>
    <row r="63" spans="1:23" ht="15" customHeight="1">
      <c r="A63" s="38" t="s">
        <v>486</v>
      </c>
    </row>
    <row r="64" spans="1:23" ht="15" customHeight="1">
      <c r="A64" s="38" t="s">
        <v>528</v>
      </c>
      <c r="M64" s="33"/>
      <c r="N64" s="33"/>
      <c r="O64" s="33"/>
      <c r="P64" s="33"/>
      <c r="Q64" s="33"/>
      <c r="R64" s="33"/>
      <c r="S64" s="33"/>
      <c r="T64" s="33"/>
      <c r="U64" s="33"/>
      <c r="V64" s="33"/>
      <c r="W64" s="33"/>
    </row>
    <row r="65" spans="1:23" ht="15" customHeight="1">
      <c r="A65" s="18"/>
      <c r="M65" s="33"/>
      <c r="N65" s="33"/>
      <c r="O65" s="33"/>
      <c r="P65" s="33"/>
      <c r="Q65" s="33"/>
      <c r="R65" s="33"/>
      <c r="S65" s="33"/>
      <c r="T65" s="33"/>
      <c r="U65" s="33"/>
      <c r="V65" s="33"/>
      <c r="W65" s="33"/>
    </row>
    <row r="66" spans="1:23" ht="15" customHeight="1">
      <c r="A66" s="223" t="s">
        <v>529</v>
      </c>
      <c r="M66" s="33"/>
      <c r="N66" s="33"/>
      <c r="O66" s="33"/>
      <c r="P66" s="33"/>
      <c r="Q66" s="33"/>
      <c r="R66" s="33"/>
      <c r="S66" s="33"/>
      <c r="T66" s="33"/>
      <c r="U66" s="33"/>
      <c r="V66" s="33"/>
      <c r="W66" s="33"/>
    </row>
    <row r="67" spans="1:23" ht="15" customHeight="1">
      <c r="A67" s="18"/>
      <c r="M67" s="33"/>
      <c r="N67" s="33"/>
      <c r="O67" s="33"/>
      <c r="P67" s="33"/>
      <c r="Q67" s="33"/>
      <c r="R67" s="33"/>
      <c r="S67" s="33"/>
      <c r="T67" s="33"/>
      <c r="U67" s="33"/>
      <c r="V67" s="33"/>
      <c r="W67" s="33"/>
    </row>
    <row r="68" spans="1:23" ht="15" customHeight="1">
      <c r="A68" s="38" t="s">
        <v>530</v>
      </c>
      <c r="B68" s="31"/>
      <c r="C68" s="31"/>
      <c r="D68" s="31"/>
      <c r="E68" s="31"/>
      <c r="F68" s="31"/>
      <c r="G68" s="32"/>
      <c r="M68" s="33"/>
      <c r="N68" s="33"/>
      <c r="O68" s="33"/>
      <c r="P68" s="33"/>
      <c r="Q68" s="33"/>
      <c r="R68" s="33"/>
      <c r="S68" s="33"/>
      <c r="T68" s="33"/>
      <c r="U68" s="33"/>
      <c r="V68" s="33"/>
      <c r="W68" s="33"/>
    </row>
    <row r="69" spans="1:23" ht="15" customHeight="1">
      <c r="A69" s="38" t="s">
        <v>531</v>
      </c>
      <c r="M69" s="33"/>
      <c r="N69" s="33"/>
      <c r="O69" s="33"/>
      <c r="P69" s="33"/>
      <c r="Q69" s="33"/>
      <c r="R69" s="33"/>
      <c r="S69" s="33"/>
      <c r="T69" s="33"/>
      <c r="U69" s="33"/>
      <c r="V69" s="33"/>
      <c r="W69" s="33"/>
    </row>
    <row r="70" spans="1:23" ht="15" customHeight="1">
      <c r="A70" s="38" t="s">
        <v>532</v>
      </c>
      <c r="M70" s="33"/>
      <c r="N70" s="33"/>
      <c r="O70" s="33"/>
      <c r="P70" s="33"/>
      <c r="Q70" s="33"/>
      <c r="R70" s="33"/>
      <c r="S70" s="33"/>
      <c r="T70" s="33"/>
      <c r="U70" s="33"/>
      <c r="V70" s="33"/>
      <c r="W70" s="33"/>
    </row>
    <row r="71" spans="1:23" ht="15" customHeight="1">
      <c r="A71" s="38" t="s">
        <v>533</v>
      </c>
      <c r="M71" s="33"/>
      <c r="N71" s="33"/>
      <c r="O71" s="33"/>
      <c r="P71" s="33"/>
      <c r="Q71" s="33"/>
      <c r="R71" s="33"/>
      <c r="S71" s="33"/>
      <c r="T71" s="33"/>
      <c r="U71" s="33"/>
      <c r="V71" s="33"/>
      <c r="W71" s="33"/>
    </row>
    <row r="72" spans="1:23" ht="15" customHeight="1">
      <c r="A72" s="38" t="s">
        <v>534</v>
      </c>
      <c r="M72" s="33"/>
      <c r="N72" s="33"/>
      <c r="O72" s="33"/>
      <c r="P72" s="33"/>
      <c r="Q72" s="33"/>
      <c r="R72" s="33"/>
      <c r="S72" s="33"/>
      <c r="T72" s="33"/>
      <c r="U72" s="33"/>
      <c r="V72" s="33"/>
      <c r="W72" s="33"/>
    </row>
    <row r="73" spans="1:23" ht="15" customHeight="1">
      <c r="A73" s="38" t="s">
        <v>535</v>
      </c>
    </row>
    <row r="74" spans="1:23" ht="15" customHeight="1">
      <c r="A74" s="38" t="s">
        <v>538</v>
      </c>
    </row>
    <row r="75" spans="1:23" ht="15" customHeight="1">
      <c r="A75" s="18"/>
    </row>
    <row r="76" spans="1:23" ht="15" customHeight="1">
      <c r="A76" s="38" t="s">
        <v>536</v>
      </c>
    </row>
    <row r="77" spans="1:23" ht="15" customHeight="1">
      <c r="A77" s="19"/>
    </row>
    <row r="78" spans="1:23" ht="15" customHeight="1">
      <c r="A78" s="38" t="s">
        <v>537</v>
      </c>
    </row>
    <row r="79" spans="1:23" ht="15" customHeight="1">
      <c r="A79" s="19"/>
      <c r="B79" s="31"/>
      <c r="C79" s="31"/>
      <c r="D79" s="31"/>
      <c r="E79" s="32"/>
      <c r="F79" s="32"/>
      <c r="G79" s="32"/>
    </row>
    <row r="80" spans="1:23" ht="15" customHeight="1">
      <c r="A80" s="38" t="s">
        <v>568</v>
      </c>
    </row>
    <row r="81" spans="1:12" ht="15" customHeight="1">
      <c r="A81" s="31"/>
    </row>
    <row r="82" spans="1:12" ht="15" customHeight="1">
      <c r="A82" s="18"/>
    </row>
    <row r="83" spans="1:12" ht="15" customHeight="1">
      <c r="A83" s="19"/>
    </row>
    <row r="84" spans="1:12" ht="15" customHeight="1">
      <c r="A84" s="19"/>
    </row>
    <row r="85" spans="1:12" ht="15" customHeight="1">
      <c r="A85" s="19"/>
      <c r="B85" s="31"/>
      <c r="C85" s="31"/>
      <c r="D85" s="31"/>
      <c r="E85" s="31"/>
      <c r="F85" s="31"/>
      <c r="G85" s="31"/>
      <c r="H85" s="31"/>
      <c r="I85" s="31"/>
      <c r="J85" s="31"/>
      <c r="K85" s="31"/>
      <c r="L85" s="31"/>
    </row>
    <row r="86" spans="1:12" ht="15" customHeight="1">
      <c r="A86" s="18"/>
    </row>
    <row r="87" spans="1:12" ht="15" customHeight="1">
      <c r="A87" s="31"/>
    </row>
    <row r="88" spans="1:12" ht="15" customHeight="1">
      <c r="A88" s="18"/>
    </row>
    <row r="89" spans="1:12" ht="15" customHeight="1">
      <c r="A89" s="18"/>
    </row>
    <row r="90" spans="1:12" ht="15" customHeight="1">
      <c r="A90" s="18"/>
      <c r="B90" s="31"/>
      <c r="C90" s="31"/>
      <c r="D90" s="32"/>
      <c r="E90" s="32"/>
      <c r="F90" s="32"/>
    </row>
    <row r="91" spans="1:12" ht="15" customHeight="1">
      <c r="A91" s="18"/>
    </row>
    <row r="92" spans="1:12" ht="15" customHeight="1">
      <c r="A92" s="31"/>
    </row>
    <row r="93" spans="1:12" ht="15" customHeight="1">
      <c r="A93" s="18"/>
    </row>
    <row r="94" spans="1:12" ht="15" customHeight="1">
      <c r="A94" s="18"/>
    </row>
    <row r="95" spans="1:12" ht="15" customHeight="1">
      <c r="A95" s="18"/>
    </row>
    <row r="96" spans="1:12" s="4" customFormat="1" ht="15" customHeight="1">
      <c r="A96" s="18"/>
      <c r="B96" s="31"/>
      <c r="C96" s="31"/>
      <c r="D96" s="31"/>
      <c r="E96" s="31"/>
      <c r="F96" s="31"/>
      <c r="G96" s="31"/>
      <c r="H96" s="31"/>
      <c r="I96" s="31"/>
    </row>
    <row r="97" spans="1:21" s="4" customFormat="1" ht="15" customHeight="1">
      <c r="A97" s="18"/>
    </row>
    <row r="98" spans="1:21" s="4" customFormat="1" ht="15" customHeight="1">
      <c r="A98" s="31"/>
    </row>
    <row r="99" spans="1:21" s="4" customFormat="1" ht="15" customHeight="1"/>
    <row r="100" spans="1:21" s="4" customFormat="1" ht="15" customHeight="1"/>
    <row r="101" spans="1:21" s="4" customFormat="1" ht="15" customHeight="1"/>
    <row r="102" spans="1:21" ht="15" customHeight="1">
      <c r="A102" s="34"/>
    </row>
    <row r="103" spans="1:21" ht="15" customHeight="1">
      <c r="A103" s="34"/>
    </row>
    <row r="104" spans="1:21" ht="15" customHeight="1">
      <c r="A104" s="18"/>
    </row>
    <row r="105" spans="1:21" s="4" customFormat="1" ht="15" customHeight="1">
      <c r="A105" s="18"/>
      <c r="B105" s="31"/>
      <c r="C105" s="31"/>
      <c r="D105" s="31"/>
      <c r="E105" s="31"/>
      <c r="F105" s="31"/>
      <c r="G105" s="103"/>
      <c r="H105" s="103"/>
      <c r="I105" s="103"/>
      <c r="J105" s="103"/>
      <c r="K105" s="103"/>
    </row>
    <row r="106" spans="1:21" s="4" customFormat="1" ht="15" customHeight="1">
      <c r="A106" s="18"/>
      <c r="M106" s="35"/>
      <c r="N106" s="35"/>
      <c r="O106" s="35"/>
      <c r="P106" s="35"/>
      <c r="Q106" s="35"/>
      <c r="R106" s="35"/>
      <c r="S106" s="35"/>
      <c r="T106" s="35"/>
      <c r="U106" s="35"/>
    </row>
    <row r="107" spans="1:21" s="4" customFormat="1" ht="15" customHeight="1">
      <c r="A107" s="31"/>
      <c r="M107" s="35"/>
      <c r="N107" s="35"/>
      <c r="O107" s="35"/>
      <c r="P107" s="35"/>
      <c r="Q107" s="35"/>
      <c r="R107" s="35"/>
      <c r="S107" s="35"/>
      <c r="T107" s="35"/>
      <c r="U107" s="35"/>
    </row>
    <row r="108" spans="1:21" s="4" customFormat="1" ht="15" customHeight="1">
      <c r="M108" s="35"/>
      <c r="N108" s="35"/>
      <c r="O108" s="35"/>
      <c r="P108" s="35"/>
      <c r="Q108" s="35"/>
      <c r="R108" s="35"/>
      <c r="S108" s="35"/>
      <c r="T108" s="35"/>
      <c r="U108" s="35"/>
    </row>
    <row r="109" spans="1:21" s="4" customFormat="1" ht="15" customHeight="1">
      <c r="M109" s="35"/>
      <c r="N109" s="35"/>
      <c r="O109" s="35"/>
      <c r="P109" s="35"/>
      <c r="Q109" s="35"/>
      <c r="R109" s="35"/>
      <c r="S109" s="35"/>
      <c r="T109" s="35"/>
      <c r="U109" s="35"/>
    </row>
    <row r="110" spans="1:21" s="4" customFormat="1" ht="15" customHeight="1">
      <c r="M110" s="35"/>
      <c r="N110" s="35"/>
      <c r="O110" s="35"/>
      <c r="P110" s="35"/>
      <c r="Q110" s="35"/>
      <c r="R110" s="35"/>
      <c r="S110" s="35"/>
      <c r="T110" s="35"/>
      <c r="U110" s="35"/>
    </row>
    <row r="111" spans="1:21" s="4" customFormat="1" ht="15" customHeight="1">
      <c r="A111" s="34"/>
      <c r="M111" s="35"/>
      <c r="N111" s="35"/>
      <c r="O111" s="35"/>
      <c r="P111" s="35"/>
      <c r="Q111" s="35"/>
      <c r="R111" s="35"/>
      <c r="S111" s="35"/>
      <c r="T111" s="35"/>
      <c r="U111" s="35"/>
    </row>
    <row r="112" spans="1:21" s="4" customFormat="1" ht="15" customHeight="1">
      <c r="A112" s="34"/>
      <c r="M112" s="35"/>
      <c r="N112" s="35"/>
      <c r="O112" s="35"/>
      <c r="P112" s="35"/>
      <c r="Q112" s="35"/>
      <c r="R112" s="35"/>
      <c r="S112" s="35"/>
      <c r="T112" s="35"/>
      <c r="U112" s="35"/>
    </row>
    <row r="113" spans="1:12" s="4" customFormat="1" ht="15" customHeight="1">
      <c r="A113" s="34"/>
    </row>
    <row r="114" spans="1:12" s="4" customFormat="1" ht="15" customHeight="1">
      <c r="A114" s="34"/>
    </row>
    <row r="115" spans="1:12" s="4" customFormat="1" ht="15" customHeight="1">
      <c r="A115" s="34"/>
    </row>
    <row r="116" spans="1:12" ht="15" customHeight="1">
      <c r="A116" s="34"/>
      <c r="B116" s="31"/>
      <c r="C116" s="31"/>
      <c r="D116" s="31"/>
      <c r="E116" s="32"/>
      <c r="F116" s="32"/>
      <c r="G116" s="32"/>
    </row>
    <row r="117" spans="1:12" ht="15" customHeight="1">
      <c r="A117" s="34"/>
    </row>
    <row r="118" spans="1:12" ht="15" customHeight="1">
      <c r="A118" s="31"/>
    </row>
    <row r="120" spans="1:12" ht="15" customHeight="1">
      <c r="A120" s="36"/>
    </row>
    <row r="121" spans="1:12" ht="15" customHeight="1">
      <c r="A121" s="19"/>
      <c r="B121" s="31"/>
      <c r="C121" s="31"/>
      <c r="D121" s="31"/>
      <c r="E121" s="31"/>
      <c r="F121" s="31"/>
      <c r="G121" s="31"/>
      <c r="H121" s="31"/>
      <c r="I121" s="31"/>
      <c r="J121" s="31"/>
      <c r="K121" s="31"/>
      <c r="L121" s="32"/>
    </row>
    <row r="123" spans="1:12" ht="15" customHeight="1">
      <c r="A123" s="31"/>
    </row>
    <row r="124" spans="1:12" ht="15" customHeight="1">
      <c r="A124" s="18"/>
    </row>
    <row r="125" spans="1:12" ht="15" customHeight="1">
      <c r="A125" s="18"/>
    </row>
    <row r="126" spans="1:12" ht="15" customHeight="1">
      <c r="A126" s="18"/>
    </row>
    <row r="127" spans="1:12" ht="15" customHeight="1">
      <c r="A127" s="18"/>
    </row>
    <row r="128" spans="1:12" ht="15" customHeight="1">
      <c r="A128" s="18"/>
      <c r="B128" s="31"/>
      <c r="C128" s="31"/>
      <c r="D128" s="31"/>
      <c r="E128" s="31"/>
      <c r="F128" s="31"/>
      <c r="G128" s="32"/>
    </row>
    <row r="129" spans="1:8" ht="15" customHeight="1">
      <c r="A129" s="18"/>
    </row>
    <row r="130" spans="1:8" ht="15" customHeight="1">
      <c r="A130" s="31"/>
    </row>
    <row r="131" spans="1:8" ht="15" customHeight="1">
      <c r="A131" s="18"/>
    </row>
    <row r="132" spans="1:8" ht="15" customHeight="1">
      <c r="A132" s="19"/>
    </row>
    <row r="133" spans="1:8" ht="15" customHeight="1">
      <c r="A133" s="18"/>
    </row>
    <row r="134" spans="1:8" ht="15" customHeight="1">
      <c r="A134" s="18"/>
      <c r="B134" s="31"/>
      <c r="C134" s="31"/>
      <c r="D134" s="31"/>
      <c r="E134" s="31"/>
      <c r="F134" s="31"/>
      <c r="G134" s="32"/>
      <c r="H134" s="32"/>
    </row>
    <row r="136" spans="1:8" ht="15" customHeight="1">
      <c r="A136" s="31"/>
    </row>
    <row r="137" spans="1:8" ht="15" customHeight="1">
      <c r="A137" s="18"/>
    </row>
    <row r="138" spans="1:8" ht="15" customHeight="1">
      <c r="A138" s="18"/>
    </row>
    <row r="139" spans="1:8" ht="15" customHeight="1">
      <c r="A139" s="18"/>
    </row>
    <row r="140" spans="1:8" ht="15" customHeight="1">
      <c r="A140" s="19"/>
    </row>
    <row r="141" spans="1:8" ht="15" customHeight="1">
      <c r="A141" s="19"/>
    </row>
    <row r="142" spans="1:8" ht="15" customHeight="1">
      <c r="A142" s="19"/>
      <c r="B142" s="31"/>
      <c r="C142" s="31"/>
      <c r="D142" s="32"/>
      <c r="E142" s="32"/>
      <c r="F142" s="32"/>
      <c r="G142" s="32"/>
    </row>
    <row r="144" spans="1:8" ht="15" customHeight="1">
      <c r="A144" s="31"/>
    </row>
    <row r="147" spans="1:11" ht="15" customHeight="1">
      <c r="A147" s="19"/>
    </row>
    <row r="148" spans="1:11" ht="15" customHeight="1">
      <c r="A148" s="19"/>
      <c r="B148" s="31"/>
      <c r="C148" s="31"/>
      <c r="D148" s="31"/>
      <c r="E148" s="31"/>
      <c r="F148" s="31"/>
      <c r="G148" s="31"/>
      <c r="H148" s="31"/>
      <c r="I148" s="31"/>
      <c r="J148" s="31"/>
      <c r="K148" s="32"/>
    </row>
    <row r="150" spans="1:11" ht="15" customHeight="1">
      <c r="A150" s="31"/>
    </row>
    <row r="151" spans="1:11" ht="15" customHeight="1">
      <c r="A151" s="18"/>
    </row>
    <row r="152" spans="1:11" ht="15" customHeight="1">
      <c r="A152" s="18"/>
    </row>
    <row r="153" spans="1:11" ht="15" customHeight="1">
      <c r="A153" s="18"/>
      <c r="B153" s="32"/>
      <c r="C153" s="32"/>
      <c r="D153" s="32"/>
    </row>
    <row r="155" spans="1:11" ht="15" customHeight="1">
      <c r="A155" s="32"/>
    </row>
    <row r="158" spans="1:11" ht="15" customHeight="1">
      <c r="B158" s="32"/>
      <c r="C158" s="32"/>
      <c r="D158" s="32"/>
      <c r="E158" s="32"/>
    </row>
    <row r="160" spans="1:11" ht="15" customHeight="1">
      <c r="A160" s="32"/>
    </row>
    <row r="163" spans="1:5" ht="15" customHeight="1">
      <c r="B163" s="31"/>
      <c r="C163" s="31"/>
      <c r="D163" s="31"/>
      <c r="E163" s="31"/>
    </row>
    <row r="165" spans="1:5" ht="15" customHeight="1">
      <c r="A165" s="31"/>
    </row>
    <row r="167" spans="1:5" ht="15" customHeight="1">
      <c r="B167" s="32"/>
      <c r="C167" s="32"/>
      <c r="D167" s="32"/>
    </row>
    <row r="169" spans="1:5" ht="15" customHeight="1">
      <c r="A169" s="32"/>
    </row>
    <row r="172" spans="1:5" ht="15" customHeight="1">
      <c r="B172" s="32"/>
      <c r="C172" s="32"/>
      <c r="D172" s="32"/>
    </row>
    <row r="174" spans="1:5" ht="15" customHeight="1">
      <c r="A174" s="32"/>
    </row>
  </sheetData>
  <sheetProtection sheet="1" objects="1" scenarios="1"/>
  <mergeCells count="7">
    <mergeCell ref="A2:L2"/>
    <mergeCell ref="A16:L16"/>
    <mergeCell ref="A18:L27"/>
    <mergeCell ref="A29:L29"/>
    <mergeCell ref="A41:L41"/>
    <mergeCell ref="F6:I6"/>
    <mergeCell ref="F7:I7"/>
  </mergeCells>
  <dataValidations count="1">
    <dataValidation type="list" allowBlank="1" showInputMessage="1" showErrorMessage="1" sqref="I12" xr:uid="{E4D7E5AF-7004-460E-97C4-9598293420B1}">
      <formula1>"2022,2023,2024"</formula1>
    </dataValidation>
  </dataValidations>
  <hyperlinks>
    <hyperlink ref="A45" location="ASSUMPTIES!A1" display="Assumpties" xr:uid="{00000000-0004-0000-0000-000000000000}"/>
    <hyperlink ref="A54" location="'T2'!A1" display="TABEL 1: Budget per tariefcomponent voor gereguleerde activiteit 'elektriciteit'" xr:uid="{00000000-0004-0000-0000-000001000000}"/>
    <hyperlink ref="A55" location="'T2'!A1" display="TABEL 2: Budget per energierichting, spanningsniveau en klantengroep voor gereguleerde activiteit 'elektriciteit'" xr:uid="{00000000-0004-0000-0000-000002000000}"/>
    <hyperlink ref="A46" location="VDSL!A1" display="Verdeelsleutels" xr:uid="{00000000-0004-0000-0000-000003000000}"/>
    <hyperlink ref="A47" location="REKENVOLUMES!A1" display="Rekenvolumes" xr:uid="{00000000-0004-0000-0000-000004000000}"/>
    <hyperlink ref="A56" location="'T3'!A1" display="TABEL 3: Tarieven vóór de toepassing van de maximumtarieven" xr:uid="{00000000-0004-0000-0000-000005000000}"/>
    <hyperlink ref="A57" location="'T4'!A1" display="TABEL 4: Tarieven na de toepassing van de maximumtarieven" xr:uid="{00000000-0004-0000-0000-000006000000}"/>
    <hyperlink ref="A48" location="MAXIMUM!A1" display="Maximum" xr:uid="{00000000-0004-0000-0000-000007000000}"/>
    <hyperlink ref="A49" location="'Max Afname TRHS'!A1" display="Max Afname TRHS" xr:uid="{B266AD43-8361-49FA-A089-AABB68C77BE9}"/>
    <hyperlink ref="A50" location="'Max Afname MS'!A1" display="Max Afname MS" xr:uid="{1D5464AA-6592-4569-8913-008732DCAAB8}"/>
    <hyperlink ref="A51" location="'Max Afname TRLS'!A1" display="Max Afname TRLS" xr:uid="{FEEBF6B3-1073-4D62-9AAD-42B4182A9B08}"/>
    <hyperlink ref="A52" location="'Max Afname LS'!A1" display="Max Afname LS" xr:uid="{94619F77-7DC9-46C0-BF36-E4B28AFFE011}"/>
    <hyperlink ref="A53" location="'Max Injectie'!A1" display="Max Injectie" xr:uid="{8FFA10CC-EC5A-48F5-B7CC-D65B25510F36}"/>
    <hyperlink ref="A64" location="'T8'!A1" display="TABEL 8: Rekenvolumes en reconciliatie van budget voor gereguleerde activiteit 'aardgas'" xr:uid="{7F622ABC-8317-4B90-8A10-2C4D377157DA}"/>
    <hyperlink ref="A63" location="'T7'!A1" display="TABEL 7: Periodieke distributienettarieven voor gereguleerde activiteit 'aardgas'" xr:uid="{307E51D0-39D6-46A9-B146-87D9631E8B6F}"/>
    <hyperlink ref="A62" location="'T6'!A1" display="TABEL 6: Budget per energierichting en klantengroep voor gereguleerde activiteit 'aardgas'" xr:uid="{23383B72-6916-4AAC-A6B2-B73CF8EBC139}"/>
    <hyperlink ref="A61" location="'T5'!A1" display="TABEL 5: Budget per tariefcomponent voor gereguleerde activiteit 'aardgas'" xr:uid="{914B541C-1023-4A02-B2E1-1AD6511AFA42}"/>
    <hyperlink ref="A68" location="'ELEK Afname'!A1" display="ELEK Afname" xr:uid="{792AD356-66E3-4DB5-9155-CEA4A9C95E5F}"/>
    <hyperlink ref="A69" location="'ELEK Afname Trans HS'!A1" display="ELEK Afname Trans HS" xr:uid="{105CF465-E048-4D0E-801A-A5F4EE295693}"/>
    <hyperlink ref="A70" location="'ELEK Afname &gt;26-36 kV'!A1" display="ELEK Afname &gt;26-36 kV" xr:uid="{7C8BCE03-CB79-4456-8E4E-CF61D1DEC73D}"/>
    <hyperlink ref="A71" location="'ELEK Afname 26-1 kV'!A1" display="ELEK Afname 26-1 kV" xr:uid="{49BAF0C2-C8E6-450B-B3B0-3E1CA48B9F7B}"/>
    <hyperlink ref="A72" location="'ELEK Afname Trans LS'!A1" display="ELEK Afname Trans LS" xr:uid="{90731D79-463F-4B55-9D88-A305AEC06C31}"/>
    <hyperlink ref="A73" location="'ELEK Afname LS'!A1" display="ELEK Afname LS" xr:uid="{28A2746E-F40B-4EAD-BBE5-94D08E502E1A}"/>
    <hyperlink ref="A74" location="'ELEK Afname Doorvoer'!A1" display="ELEK Afname Doorvoer" xr:uid="{0AE58A8F-BC3A-423A-9435-700C3DECE5CF}"/>
    <hyperlink ref="A76" location="'ELEK Injectie'!A1" display="ELEK Injectie" xr:uid="{CC06E8CA-27F9-4AD2-8F38-4F4619B67828}"/>
    <hyperlink ref="A78" location="'GAS Afname'!A1" display="GAS Afname" xr:uid="{4EC429E3-A11B-40B0-8BB0-D0C1A2BB51D3}"/>
    <hyperlink ref="A80" location="'GAS Injectie'!A1" display="Gas Injectie" xr:uid="{79A64CD5-F75E-41F1-B735-6F6C44F1E9EE}"/>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8F3D-6920-4D54-8F0B-828179F16DCB}">
  <sheetPr published="0"/>
  <dimension ref="A1:T40"/>
  <sheetViews>
    <sheetView zoomScaleNormal="100" workbookViewId="0">
      <selection activeCell="D4" sqref="D4:E4"/>
    </sheetView>
  </sheetViews>
  <sheetFormatPr defaultColWidth="20.7265625" defaultRowHeight="14.5"/>
  <cols>
    <col min="1" max="1" width="20.7265625" style="591"/>
    <col min="2" max="2" width="25.81640625" style="591" customWidth="1"/>
    <col min="3" max="16" width="20.7265625" style="591"/>
    <col min="17" max="17" width="20.7265625" style="591" customWidth="1"/>
    <col min="18" max="18" width="5.7265625" style="591" customWidth="1"/>
    <col min="19" max="16384" width="20.7265625" style="591"/>
  </cols>
  <sheetData>
    <row r="1" spans="1:17" ht="30" customHeight="1" thickBot="1">
      <c r="A1" s="1425" t="s">
        <v>351</v>
      </c>
      <c r="B1" s="1426"/>
      <c r="C1" s="1426"/>
      <c r="D1" s="1426"/>
      <c r="E1" s="1426"/>
      <c r="F1" s="1426"/>
      <c r="G1" s="1426"/>
      <c r="H1" s="1426"/>
      <c r="I1" s="1426"/>
      <c r="J1" s="1426"/>
      <c r="K1" s="1426"/>
      <c r="L1" s="1426"/>
      <c r="M1" s="1426"/>
      <c r="N1" s="1426"/>
      <c r="O1" s="1426"/>
      <c r="P1" s="1426"/>
      <c r="Q1" s="1494"/>
    </row>
    <row r="2" spans="1:17">
      <c r="B2" s="1"/>
      <c r="C2" s="1"/>
      <c r="D2" s="1"/>
      <c r="E2" s="1"/>
      <c r="F2" s="1"/>
      <c r="G2" s="1"/>
      <c r="H2" s="1"/>
      <c r="I2" s="1"/>
      <c r="J2" s="1"/>
      <c r="K2" s="1"/>
    </row>
    <row r="3" spans="1:17" ht="15" thickBot="1">
      <c r="B3" s="1"/>
      <c r="C3" s="1"/>
      <c r="D3" s="1"/>
      <c r="E3" s="1"/>
      <c r="F3" s="1"/>
      <c r="G3" s="1"/>
      <c r="H3" s="1"/>
      <c r="I3" s="1"/>
      <c r="J3" s="1"/>
      <c r="K3" s="1"/>
    </row>
    <row r="4" spans="1:17" ht="15" thickBot="1">
      <c r="B4" s="129" t="s">
        <v>6</v>
      </c>
      <c r="C4" s="168"/>
      <c r="D4" s="1420" t="str">
        <f>DNB</f>
        <v>Naam distributienetbeheerder</v>
      </c>
      <c r="E4" s="1422"/>
      <c r="I4" s="168"/>
      <c r="K4" s="1"/>
    </row>
    <row r="6" spans="1:17" ht="15" thickBot="1"/>
    <row r="7" spans="1:17" ht="16.5">
      <c r="I7" s="1509" t="s">
        <v>152</v>
      </c>
      <c r="J7" s="210" t="s">
        <v>318</v>
      </c>
      <c r="K7" s="447" t="e">
        <f>INDEX(Tabel3B[Afnameklanten op LS met piekmeting],4)</f>
        <v>#DIV/0!</v>
      </c>
      <c r="L7" s="452" t="e">
        <f>$K$7*$L$15</f>
        <v>#DIV/0!</v>
      </c>
      <c r="M7" s="398"/>
      <c r="N7" s="398"/>
      <c r="O7" s="400"/>
      <c r="P7" s="400"/>
      <c r="Q7" s="443"/>
    </row>
    <row r="8" spans="1:17" ht="16.5">
      <c r="I8" s="1510"/>
      <c r="J8" s="211" t="s">
        <v>115</v>
      </c>
      <c r="K8" s="451" t="e">
        <f>INDEX(Tabel3B[Afnameklanten op LS met piekmeting],6)</f>
        <v>#DIV/0!</v>
      </c>
      <c r="L8" s="895" t="e">
        <f>$K$8*$L$15</f>
        <v>#DIV/0!</v>
      </c>
      <c r="M8" s="411" t="e">
        <f>INDEX(Tabel3B[Afnameklanten op LS met piekmeting],15)</f>
        <v>#VALUE!</v>
      </c>
      <c r="N8" s="411" t="e">
        <f>INDEX(Tabel3B[Afnameklanten op LS met piekmeting],17)</f>
        <v>#VALUE!</v>
      </c>
      <c r="O8" s="412" t="e">
        <f>INDEX(Tabel3B[Afnameklanten op LS met piekmeting],19)</f>
        <v>#DIV/0!</v>
      </c>
      <c r="P8" s="412" t="e">
        <f>INDEX(Tabel3B[Afnameklanten op LS met piekmeting],20)</f>
        <v>#DIV/0!</v>
      </c>
      <c r="Q8" s="444"/>
    </row>
    <row r="9" spans="1:17" ht="16.5">
      <c r="I9" s="1510"/>
      <c r="J9" s="211" t="s">
        <v>218</v>
      </c>
      <c r="K9" s="451" t="e">
        <f>INDEX(Tabel3B[Afnameklanten op LS met piekmeting],6)</f>
        <v>#DIV/0!</v>
      </c>
      <c r="L9" s="895" t="e">
        <f>$K$9*$L$15</f>
        <v>#DIV/0!</v>
      </c>
      <c r="M9" s="411" t="e">
        <f>INDEX(Tabel3B[Afnameklanten op LS met piekmeting],16)</f>
        <v>#VALUE!</v>
      </c>
      <c r="N9" s="410"/>
      <c r="O9" s="413"/>
      <c r="P9" s="413"/>
      <c r="Q9" s="444"/>
    </row>
    <row r="10" spans="1:17">
      <c r="I10" s="1510"/>
      <c r="J10" s="392" t="s">
        <v>7</v>
      </c>
      <c r="K10" s="448"/>
      <c r="L10" s="404"/>
      <c r="M10" s="404"/>
      <c r="N10" s="404"/>
      <c r="O10" s="406"/>
      <c r="P10" s="414"/>
      <c r="Q10" s="439" t="e">
        <f>INDEX(Tabel3B[Afnameklanten op LS met piekmeting],9)</f>
        <v>#DIV/0!</v>
      </c>
    </row>
    <row r="11" spans="1:17">
      <c r="I11" s="1510"/>
      <c r="J11" s="393" t="s">
        <v>8</v>
      </c>
      <c r="K11" s="448"/>
      <c r="L11" s="404"/>
      <c r="M11" s="404"/>
      <c r="N11" s="404"/>
      <c r="O11" s="406"/>
      <c r="P11" s="414"/>
      <c r="Q11" s="439" t="e">
        <f>INDEX(Tabel3B[Afnameklanten op LS met piekmeting],10)</f>
        <v>#DIV/0!</v>
      </c>
    </row>
    <row r="12" spans="1:17">
      <c r="I12" s="1510"/>
      <c r="J12" s="393" t="s">
        <v>127</v>
      </c>
      <c r="K12" s="435"/>
      <c r="L12" s="436"/>
      <c r="M12" s="436"/>
      <c r="N12" s="436"/>
      <c r="O12" s="437"/>
      <c r="P12" s="437"/>
      <c r="Q12" s="439" t="e">
        <f>INDEX(Tabel3B[Afnameklanten op LS met piekmeting],11)</f>
        <v>#DIV/0!</v>
      </c>
    </row>
    <row r="13" spans="1:17" ht="15" thickBot="1">
      <c r="I13" s="1510"/>
      <c r="J13" s="393" t="s">
        <v>128</v>
      </c>
      <c r="K13" s="435"/>
      <c r="L13" s="436"/>
      <c r="M13" s="436"/>
      <c r="N13" s="436"/>
      <c r="O13" s="437"/>
      <c r="P13" s="437"/>
      <c r="Q13" s="439" t="e">
        <f>INDEX(Tabel3B[Afnameklanten op LS met piekmeting],12)</f>
        <v>#DIV/0!</v>
      </c>
    </row>
    <row r="14" spans="1:17" ht="30" customHeight="1" thickBot="1">
      <c r="I14" s="1510"/>
      <c r="J14" s="211" t="s">
        <v>130</v>
      </c>
      <c r="K14" s="1543">
        <v>0</v>
      </c>
      <c r="L14" s="1501"/>
      <c r="M14" s="1501"/>
      <c r="N14" s="1501"/>
      <c r="O14" s="1502"/>
      <c r="P14" s="1502"/>
      <c r="Q14" s="445"/>
    </row>
    <row r="15" spans="1:17" ht="30" customHeight="1" thickBot="1">
      <c r="I15" s="1511"/>
      <c r="J15" s="213" t="s">
        <v>136</v>
      </c>
      <c r="K15" s="390"/>
      <c r="L15" s="605">
        <f>PROCENT_VERHOGING_NA_MAX</f>
        <v>1</v>
      </c>
      <c r="M15" s="207"/>
      <c r="N15" s="207"/>
      <c r="O15" s="389"/>
      <c r="P15" s="389"/>
      <c r="Q15" s="446"/>
    </row>
    <row r="16" spans="1:17" ht="15" thickBot="1"/>
    <row r="17" spans="1:20" ht="30" customHeight="1" thickBot="1">
      <c r="K17" s="600" t="s">
        <v>137</v>
      </c>
      <c r="L17" s="601" t="s">
        <v>140</v>
      </c>
      <c r="M17" s="606" t="s">
        <v>85</v>
      </c>
      <c r="N17" s="608" t="s">
        <v>9</v>
      </c>
      <c r="O17" s="1517" t="s">
        <v>562</v>
      </c>
      <c r="P17" s="1507" t="s">
        <v>561</v>
      </c>
      <c r="Q17" s="610" t="s">
        <v>84</v>
      </c>
      <c r="S17" s="1498" t="s">
        <v>138</v>
      </c>
      <c r="T17" s="1483"/>
    </row>
    <row r="18" spans="1:20" ht="17" thickBot="1">
      <c r="A18" s="602" t="s">
        <v>146</v>
      </c>
      <c r="B18" s="183" t="s">
        <v>107</v>
      </c>
      <c r="C18" s="581" t="s">
        <v>214</v>
      </c>
      <c r="D18" s="184" t="s">
        <v>563</v>
      </c>
      <c r="E18" s="185" t="s">
        <v>25</v>
      </c>
      <c r="F18" s="186" t="s">
        <v>352</v>
      </c>
      <c r="G18" s="186" t="s">
        <v>343</v>
      </c>
      <c r="H18" s="383" t="s">
        <v>344</v>
      </c>
      <c r="I18" s="187" t="s">
        <v>345</v>
      </c>
      <c r="K18" s="449" t="s">
        <v>83</v>
      </c>
      <c r="L18" s="450" t="s">
        <v>83</v>
      </c>
      <c r="M18" s="607"/>
      <c r="N18" s="609"/>
      <c r="O18" s="1518"/>
      <c r="P18" s="1508"/>
      <c r="Q18" s="611"/>
      <c r="S18" s="188" t="s">
        <v>130</v>
      </c>
      <c r="T18" s="189" t="s">
        <v>131</v>
      </c>
    </row>
    <row r="19" spans="1:20">
      <c r="A19" s="769"/>
      <c r="B19" s="770"/>
      <c r="C19" s="771"/>
      <c r="D19" s="772"/>
      <c r="E19" s="773"/>
      <c r="F19" s="774"/>
      <c r="G19" s="774"/>
      <c r="H19" s="775"/>
      <c r="I19" s="776"/>
      <c r="K19" s="815" t="e">
        <f t="shared" ref="K19:K37" si="0">IF($B19="Doorvoer op LS met piekmeting",FACTOR_DOORVOER,1)*($K$7*$F19+$K$8*($G19+$H19)+$K$9*$I19)</f>
        <v>#DIV/0!</v>
      </c>
      <c r="L19" s="791" t="e">
        <f t="shared" ref="L19:L37" si="1">IF($B19="Doorvoer op LS met piekmeting",FACTOR_DOORVOER,1)*($L$7*$F19+$L$8*($G19+$H19)+$L$9*$I19)</f>
        <v>#DIV/0!</v>
      </c>
      <c r="M19" s="793" t="e">
        <f t="shared" ref="M19:M37" si="2">IF($B19="Doorvoer op LS met piekmeting",FACTOR_DOORVOER,1)*$M$8*($G19+$H19)+$M$9*$I19</f>
        <v>#VALUE!</v>
      </c>
      <c r="N19" s="816" t="e">
        <f t="shared" ref="N19:N37" si="3">IF($B19="Doorvoer op LS met piekmeting",FACTOR_DOORVOER,1)*$N$8*($G19+$H19+$I19)</f>
        <v>#VALUE!</v>
      </c>
      <c r="O19" s="817" t="e">
        <f t="shared" ref="O19:O37" si="4">IF($B19="Doorvoer op LS met piekmeting",FACTOR_DOORVOER,1)*$O$8*($G19+$H19+$I19)</f>
        <v>#DIV/0!</v>
      </c>
      <c r="P19" s="817" t="e">
        <f t="shared" ref="P19:P37" si="5">IF($B19="Doorvoer op LS met piekmeting",FACTOR_DOORVOER,1)*$P$8*(($G19+$H19+$I19)-IF($D19="x",0.15*MAX($G19+$H19+$I19-20000,0)+0.05*MAX($G19+$H19+$I19-50000,0)+0.05*MAX($G19+$H19+$I19-1000000,0)+0.2*MAX($G19+$H19+$I19-25000000,0),0))</f>
        <v>#DIV/0!</v>
      </c>
      <c r="Q19" s="896" t="e">
        <f t="shared" ref="Q19:Q37" si="6">IF($B19="Doorvoer op LS met piekmeting",FACTOR_DOORVOER,1)*INDEX($Q$10:$Q$13,MATCH($E19,$J$10:$J$13,0))</f>
        <v>#N/A</v>
      </c>
      <c r="S19" s="812" t="e">
        <f t="shared" ref="S19:S37" si="7">IF($B19="Doorvoer op LS met piekmeting",FACTOR_DOORVOER,1)*MAX(FACTOR_VAST*$L$7,$K$14*($G19+$H19+$I19))</f>
        <v>#DIV/0!</v>
      </c>
      <c r="T19" s="813" t="e">
        <f t="shared" ref="T19:T37" si="8">IF($C19="x",0,MAX(SUM($L19,$M19:$P19)-$S19,0))</f>
        <v>#DIV/0!</v>
      </c>
    </row>
    <row r="20" spans="1:20">
      <c r="A20" s="777"/>
      <c r="B20" s="655"/>
      <c r="C20" s="778"/>
      <c r="D20" s="653"/>
      <c r="E20" s="779"/>
      <c r="F20" s="780"/>
      <c r="G20" s="780"/>
      <c r="H20" s="781"/>
      <c r="I20" s="782"/>
      <c r="K20" s="803" t="e">
        <f t="shared" si="0"/>
        <v>#DIV/0!</v>
      </c>
      <c r="L20" s="799" t="e">
        <f t="shared" si="1"/>
        <v>#DIV/0!</v>
      </c>
      <c r="M20" s="799" t="e">
        <f t="shared" si="2"/>
        <v>#VALUE!</v>
      </c>
      <c r="N20" s="801" t="e">
        <f t="shared" si="3"/>
        <v>#VALUE!</v>
      </c>
      <c r="O20" s="798" t="e">
        <f t="shared" si="4"/>
        <v>#DIV/0!</v>
      </c>
      <c r="P20" s="798" t="e">
        <f t="shared" si="5"/>
        <v>#DIV/0!</v>
      </c>
      <c r="Q20" s="897" t="e">
        <f t="shared" si="6"/>
        <v>#N/A</v>
      </c>
      <c r="S20" s="803" t="e">
        <f t="shared" si="7"/>
        <v>#DIV/0!</v>
      </c>
      <c r="T20" s="802" t="e">
        <f t="shared" si="8"/>
        <v>#DIV/0!</v>
      </c>
    </row>
    <row r="21" spans="1:20">
      <c r="A21" s="777"/>
      <c r="B21" s="655"/>
      <c r="C21" s="778"/>
      <c r="D21" s="653"/>
      <c r="E21" s="779"/>
      <c r="F21" s="780"/>
      <c r="G21" s="780"/>
      <c r="H21" s="781"/>
      <c r="I21" s="782"/>
      <c r="K21" s="803" t="e">
        <f t="shared" si="0"/>
        <v>#DIV/0!</v>
      </c>
      <c r="L21" s="799" t="e">
        <f t="shared" si="1"/>
        <v>#DIV/0!</v>
      </c>
      <c r="M21" s="799" t="e">
        <f t="shared" si="2"/>
        <v>#VALUE!</v>
      </c>
      <c r="N21" s="801" t="e">
        <f t="shared" si="3"/>
        <v>#VALUE!</v>
      </c>
      <c r="O21" s="798" t="e">
        <f t="shared" si="4"/>
        <v>#DIV/0!</v>
      </c>
      <c r="P21" s="798" t="e">
        <f t="shared" si="5"/>
        <v>#DIV/0!</v>
      </c>
      <c r="Q21" s="897" t="e">
        <f t="shared" si="6"/>
        <v>#N/A</v>
      </c>
      <c r="S21" s="803" t="e">
        <f t="shared" si="7"/>
        <v>#DIV/0!</v>
      </c>
      <c r="T21" s="802" t="e">
        <f t="shared" si="8"/>
        <v>#DIV/0!</v>
      </c>
    </row>
    <row r="22" spans="1:20">
      <c r="A22" s="777"/>
      <c r="B22" s="655"/>
      <c r="C22" s="778"/>
      <c r="D22" s="653"/>
      <c r="E22" s="779"/>
      <c r="F22" s="780"/>
      <c r="G22" s="780"/>
      <c r="H22" s="781"/>
      <c r="I22" s="782"/>
      <c r="K22" s="803" t="e">
        <f t="shared" si="0"/>
        <v>#DIV/0!</v>
      </c>
      <c r="L22" s="799" t="e">
        <f t="shared" si="1"/>
        <v>#DIV/0!</v>
      </c>
      <c r="M22" s="799" t="e">
        <f t="shared" si="2"/>
        <v>#VALUE!</v>
      </c>
      <c r="N22" s="801" t="e">
        <f t="shared" si="3"/>
        <v>#VALUE!</v>
      </c>
      <c r="O22" s="798" t="e">
        <f t="shared" si="4"/>
        <v>#DIV/0!</v>
      </c>
      <c r="P22" s="798" t="e">
        <f t="shared" si="5"/>
        <v>#DIV/0!</v>
      </c>
      <c r="Q22" s="897" t="e">
        <f t="shared" si="6"/>
        <v>#N/A</v>
      </c>
      <c r="S22" s="803" t="e">
        <f t="shared" si="7"/>
        <v>#DIV/0!</v>
      </c>
      <c r="T22" s="802" t="e">
        <f t="shared" si="8"/>
        <v>#DIV/0!</v>
      </c>
    </row>
    <row r="23" spans="1:20">
      <c r="A23" s="777"/>
      <c r="B23" s="655"/>
      <c r="C23" s="778"/>
      <c r="D23" s="653"/>
      <c r="E23" s="779"/>
      <c r="F23" s="780"/>
      <c r="G23" s="780"/>
      <c r="H23" s="781"/>
      <c r="I23" s="782"/>
      <c r="K23" s="803" t="e">
        <f t="shared" si="0"/>
        <v>#DIV/0!</v>
      </c>
      <c r="L23" s="799" t="e">
        <f t="shared" si="1"/>
        <v>#DIV/0!</v>
      </c>
      <c r="M23" s="799" t="e">
        <f t="shared" si="2"/>
        <v>#VALUE!</v>
      </c>
      <c r="N23" s="801" t="e">
        <f t="shared" si="3"/>
        <v>#VALUE!</v>
      </c>
      <c r="O23" s="798" t="e">
        <f t="shared" si="4"/>
        <v>#DIV/0!</v>
      </c>
      <c r="P23" s="798" t="e">
        <f t="shared" si="5"/>
        <v>#DIV/0!</v>
      </c>
      <c r="Q23" s="897" t="e">
        <f t="shared" si="6"/>
        <v>#N/A</v>
      </c>
      <c r="S23" s="803" t="e">
        <f t="shared" si="7"/>
        <v>#DIV/0!</v>
      </c>
      <c r="T23" s="802" t="e">
        <f t="shared" si="8"/>
        <v>#DIV/0!</v>
      </c>
    </row>
    <row r="24" spans="1:20">
      <c r="A24" s="777"/>
      <c r="B24" s="655"/>
      <c r="C24" s="778"/>
      <c r="D24" s="653"/>
      <c r="E24" s="779"/>
      <c r="F24" s="780"/>
      <c r="G24" s="780"/>
      <c r="H24" s="781"/>
      <c r="I24" s="782"/>
      <c r="K24" s="803" t="e">
        <f t="shared" si="0"/>
        <v>#DIV/0!</v>
      </c>
      <c r="L24" s="799" t="e">
        <f t="shared" si="1"/>
        <v>#DIV/0!</v>
      </c>
      <c r="M24" s="799" t="e">
        <f t="shared" si="2"/>
        <v>#VALUE!</v>
      </c>
      <c r="N24" s="801" t="e">
        <f t="shared" si="3"/>
        <v>#VALUE!</v>
      </c>
      <c r="O24" s="798" t="e">
        <f t="shared" si="4"/>
        <v>#DIV/0!</v>
      </c>
      <c r="P24" s="798" t="e">
        <f t="shared" si="5"/>
        <v>#DIV/0!</v>
      </c>
      <c r="Q24" s="897" t="e">
        <f t="shared" si="6"/>
        <v>#N/A</v>
      </c>
      <c r="S24" s="803" t="e">
        <f t="shared" si="7"/>
        <v>#DIV/0!</v>
      </c>
      <c r="T24" s="802" t="e">
        <f t="shared" si="8"/>
        <v>#DIV/0!</v>
      </c>
    </row>
    <row r="25" spans="1:20">
      <c r="A25" s="777"/>
      <c r="B25" s="655"/>
      <c r="C25" s="778"/>
      <c r="D25" s="653"/>
      <c r="E25" s="779"/>
      <c r="F25" s="780"/>
      <c r="G25" s="780"/>
      <c r="H25" s="781"/>
      <c r="I25" s="782"/>
      <c r="K25" s="803" t="e">
        <f t="shared" si="0"/>
        <v>#DIV/0!</v>
      </c>
      <c r="L25" s="799" t="e">
        <f t="shared" si="1"/>
        <v>#DIV/0!</v>
      </c>
      <c r="M25" s="799" t="e">
        <f t="shared" si="2"/>
        <v>#VALUE!</v>
      </c>
      <c r="N25" s="801" t="e">
        <f t="shared" si="3"/>
        <v>#VALUE!</v>
      </c>
      <c r="O25" s="798" t="e">
        <f t="shared" si="4"/>
        <v>#DIV/0!</v>
      </c>
      <c r="P25" s="798" t="e">
        <f t="shared" si="5"/>
        <v>#DIV/0!</v>
      </c>
      <c r="Q25" s="897" t="e">
        <f t="shared" si="6"/>
        <v>#N/A</v>
      </c>
      <c r="S25" s="803" t="e">
        <f t="shared" si="7"/>
        <v>#DIV/0!</v>
      </c>
      <c r="T25" s="802" t="e">
        <f t="shared" si="8"/>
        <v>#DIV/0!</v>
      </c>
    </row>
    <row r="26" spans="1:20">
      <c r="A26" s="777"/>
      <c r="B26" s="655"/>
      <c r="C26" s="778"/>
      <c r="D26" s="653"/>
      <c r="E26" s="779"/>
      <c r="F26" s="780"/>
      <c r="G26" s="780"/>
      <c r="H26" s="781"/>
      <c r="I26" s="782"/>
      <c r="K26" s="803" t="e">
        <f t="shared" si="0"/>
        <v>#DIV/0!</v>
      </c>
      <c r="L26" s="799" t="e">
        <f t="shared" si="1"/>
        <v>#DIV/0!</v>
      </c>
      <c r="M26" s="799" t="e">
        <f t="shared" si="2"/>
        <v>#VALUE!</v>
      </c>
      <c r="N26" s="801" t="e">
        <f t="shared" si="3"/>
        <v>#VALUE!</v>
      </c>
      <c r="O26" s="798" t="e">
        <f t="shared" si="4"/>
        <v>#DIV/0!</v>
      </c>
      <c r="P26" s="798" t="e">
        <f t="shared" si="5"/>
        <v>#DIV/0!</v>
      </c>
      <c r="Q26" s="897" t="e">
        <f t="shared" si="6"/>
        <v>#N/A</v>
      </c>
      <c r="S26" s="803" t="e">
        <f t="shared" si="7"/>
        <v>#DIV/0!</v>
      </c>
      <c r="T26" s="802" t="e">
        <f t="shared" si="8"/>
        <v>#DIV/0!</v>
      </c>
    </row>
    <row r="27" spans="1:20">
      <c r="A27" s="777"/>
      <c r="B27" s="655"/>
      <c r="C27" s="778"/>
      <c r="D27" s="653"/>
      <c r="E27" s="779"/>
      <c r="F27" s="780"/>
      <c r="G27" s="780"/>
      <c r="H27" s="781"/>
      <c r="I27" s="782"/>
      <c r="K27" s="803" t="e">
        <f t="shared" si="0"/>
        <v>#DIV/0!</v>
      </c>
      <c r="L27" s="799" t="e">
        <f t="shared" si="1"/>
        <v>#DIV/0!</v>
      </c>
      <c r="M27" s="799" t="e">
        <f t="shared" si="2"/>
        <v>#VALUE!</v>
      </c>
      <c r="N27" s="801" t="e">
        <f t="shared" si="3"/>
        <v>#VALUE!</v>
      </c>
      <c r="O27" s="798" t="e">
        <f t="shared" si="4"/>
        <v>#DIV/0!</v>
      </c>
      <c r="P27" s="798" t="e">
        <f t="shared" si="5"/>
        <v>#DIV/0!</v>
      </c>
      <c r="Q27" s="897" t="e">
        <f t="shared" si="6"/>
        <v>#N/A</v>
      </c>
      <c r="S27" s="803" t="e">
        <f t="shared" si="7"/>
        <v>#DIV/0!</v>
      </c>
      <c r="T27" s="802" t="e">
        <f t="shared" si="8"/>
        <v>#DIV/0!</v>
      </c>
    </row>
    <row r="28" spans="1:20">
      <c r="A28" s="777"/>
      <c r="B28" s="655"/>
      <c r="C28" s="778"/>
      <c r="D28" s="653"/>
      <c r="E28" s="779"/>
      <c r="F28" s="780"/>
      <c r="G28" s="780"/>
      <c r="H28" s="781"/>
      <c r="I28" s="782"/>
      <c r="K28" s="803" t="e">
        <f t="shared" si="0"/>
        <v>#DIV/0!</v>
      </c>
      <c r="L28" s="799" t="e">
        <f t="shared" si="1"/>
        <v>#DIV/0!</v>
      </c>
      <c r="M28" s="799" t="e">
        <f t="shared" si="2"/>
        <v>#VALUE!</v>
      </c>
      <c r="N28" s="801" t="e">
        <f t="shared" si="3"/>
        <v>#VALUE!</v>
      </c>
      <c r="O28" s="798" t="e">
        <f t="shared" si="4"/>
        <v>#DIV/0!</v>
      </c>
      <c r="P28" s="798" t="e">
        <f t="shared" si="5"/>
        <v>#DIV/0!</v>
      </c>
      <c r="Q28" s="897" t="e">
        <f t="shared" si="6"/>
        <v>#N/A</v>
      </c>
      <c r="S28" s="803" t="e">
        <f t="shared" si="7"/>
        <v>#DIV/0!</v>
      </c>
      <c r="T28" s="802" t="e">
        <f t="shared" si="8"/>
        <v>#DIV/0!</v>
      </c>
    </row>
    <row r="29" spans="1:20">
      <c r="A29" s="777"/>
      <c r="B29" s="655"/>
      <c r="C29" s="778"/>
      <c r="D29" s="653"/>
      <c r="E29" s="779"/>
      <c r="F29" s="780"/>
      <c r="G29" s="780"/>
      <c r="H29" s="781"/>
      <c r="I29" s="782"/>
      <c r="K29" s="803" t="e">
        <f t="shared" si="0"/>
        <v>#DIV/0!</v>
      </c>
      <c r="L29" s="799" t="e">
        <f t="shared" si="1"/>
        <v>#DIV/0!</v>
      </c>
      <c r="M29" s="799" t="e">
        <f t="shared" si="2"/>
        <v>#VALUE!</v>
      </c>
      <c r="N29" s="801" t="e">
        <f t="shared" si="3"/>
        <v>#VALUE!</v>
      </c>
      <c r="O29" s="798" t="e">
        <f t="shared" si="4"/>
        <v>#DIV/0!</v>
      </c>
      <c r="P29" s="798" t="e">
        <f t="shared" si="5"/>
        <v>#DIV/0!</v>
      </c>
      <c r="Q29" s="897" t="e">
        <f t="shared" si="6"/>
        <v>#N/A</v>
      </c>
      <c r="S29" s="803" t="e">
        <f t="shared" si="7"/>
        <v>#DIV/0!</v>
      </c>
      <c r="T29" s="802" t="e">
        <f t="shared" si="8"/>
        <v>#DIV/0!</v>
      </c>
    </row>
    <row r="30" spans="1:20">
      <c r="A30" s="777"/>
      <c r="B30" s="655"/>
      <c r="C30" s="778"/>
      <c r="D30" s="653"/>
      <c r="E30" s="779"/>
      <c r="F30" s="780"/>
      <c r="G30" s="780"/>
      <c r="H30" s="781"/>
      <c r="I30" s="782"/>
      <c r="K30" s="803" t="e">
        <f t="shared" si="0"/>
        <v>#DIV/0!</v>
      </c>
      <c r="L30" s="799" t="e">
        <f t="shared" si="1"/>
        <v>#DIV/0!</v>
      </c>
      <c r="M30" s="799" t="e">
        <f t="shared" si="2"/>
        <v>#VALUE!</v>
      </c>
      <c r="N30" s="801" t="e">
        <f t="shared" si="3"/>
        <v>#VALUE!</v>
      </c>
      <c r="O30" s="798" t="e">
        <f t="shared" si="4"/>
        <v>#DIV/0!</v>
      </c>
      <c r="P30" s="798" t="e">
        <f t="shared" si="5"/>
        <v>#DIV/0!</v>
      </c>
      <c r="Q30" s="897" t="e">
        <f t="shared" si="6"/>
        <v>#N/A</v>
      </c>
      <c r="S30" s="803" t="e">
        <f t="shared" si="7"/>
        <v>#DIV/0!</v>
      </c>
      <c r="T30" s="802" t="e">
        <f t="shared" si="8"/>
        <v>#DIV/0!</v>
      </c>
    </row>
    <row r="31" spans="1:20">
      <c r="A31" s="777"/>
      <c r="B31" s="655"/>
      <c r="C31" s="778"/>
      <c r="D31" s="653"/>
      <c r="E31" s="779"/>
      <c r="F31" s="780"/>
      <c r="G31" s="780"/>
      <c r="H31" s="781"/>
      <c r="I31" s="782"/>
      <c r="K31" s="803" t="e">
        <f t="shared" si="0"/>
        <v>#DIV/0!</v>
      </c>
      <c r="L31" s="799" t="e">
        <f t="shared" si="1"/>
        <v>#DIV/0!</v>
      </c>
      <c r="M31" s="799" t="e">
        <f t="shared" si="2"/>
        <v>#VALUE!</v>
      </c>
      <c r="N31" s="801" t="e">
        <f t="shared" si="3"/>
        <v>#VALUE!</v>
      </c>
      <c r="O31" s="798" t="e">
        <f t="shared" si="4"/>
        <v>#DIV/0!</v>
      </c>
      <c r="P31" s="798" t="e">
        <f t="shared" si="5"/>
        <v>#DIV/0!</v>
      </c>
      <c r="Q31" s="897" t="e">
        <f t="shared" si="6"/>
        <v>#N/A</v>
      </c>
      <c r="S31" s="803" t="e">
        <f t="shared" si="7"/>
        <v>#DIV/0!</v>
      </c>
      <c r="T31" s="802" t="e">
        <f t="shared" si="8"/>
        <v>#DIV/0!</v>
      </c>
    </row>
    <row r="32" spans="1:20">
      <c r="A32" s="777"/>
      <c r="B32" s="655"/>
      <c r="C32" s="778"/>
      <c r="D32" s="653"/>
      <c r="E32" s="779"/>
      <c r="F32" s="780"/>
      <c r="G32" s="780"/>
      <c r="H32" s="781"/>
      <c r="I32" s="782"/>
      <c r="K32" s="803" t="e">
        <f t="shared" si="0"/>
        <v>#DIV/0!</v>
      </c>
      <c r="L32" s="799" t="e">
        <f t="shared" si="1"/>
        <v>#DIV/0!</v>
      </c>
      <c r="M32" s="799" t="e">
        <f t="shared" si="2"/>
        <v>#VALUE!</v>
      </c>
      <c r="N32" s="801" t="e">
        <f t="shared" si="3"/>
        <v>#VALUE!</v>
      </c>
      <c r="O32" s="798" t="e">
        <f t="shared" si="4"/>
        <v>#DIV/0!</v>
      </c>
      <c r="P32" s="798" t="e">
        <f t="shared" si="5"/>
        <v>#DIV/0!</v>
      </c>
      <c r="Q32" s="897" t="e">
        <f t="shared" si="6"/>
        <v>#N/A</v>
      </c>
      <c r="S32" s="803" t="e">
        <f t="shared" si="7"/>
        <v>#DIV/0!</v>
      </c>
      <c r="T32" s="802" t="e">
        <f t="shared" si="8"/>
        <v>#DIV/0!</v>
      </c>
    </row>
    <row r="33" spans="1:20">
      <c r="A33" s="777"/>
      <c r="B33" s="655"/>
      <c r="C33" s="778"/>
      <c r="D33" s="653"/>
      <c r="E33" s="779"/>
      <c r="F33" s="780"/>
      <c r="G33" s="780"/>
      <c r="H33" s="781"/>
      <c r="I33" s="782"/>
      <c r="K33" s="803" t="e">
        <f t="shared" si="0"/>
        <v>#DIV/0!</v>
      </c>
      <c r="L33" s="799" t="e">
        <f t="shared" si="1"/>
        <v>#DIV/0!</v>
      </c>
      <c r="M33" s="799" t="e">
        <f t="shared" si="2"/>
        <v>#VALUE!</v>
      </c>
      <c r="N33" s="801" t="e">
        <f t="shared" si="3"/>
        <v>#VALUE!</v>
      </c>
      <c r="O33" s="798" t="e">
        <f t="shared" si="4"/>
        <v>#DIV/0!</v>
      </c>
      <c r="P33" s="798" t="e">
        <f t="shared" si="5"/>
        <v>#DIV/0!</v>
      </c>
      <c r="Q33" s="897" t="e">
        <f t="shared" si="6"/>
        <v>#N/A</v>
      </c>
      <c r="S33" s="803" t="e">
        <f t="shared" si="7"/>
        <v>#DIV/0!</v>
      </c>
      <c r="T33" s="802" t="e">
        <f t="shared" si="8"/>
        <v>#DIV/0!</v>
      </c>
    </row>
    <row r="34" spans="1:20">
      <c r="A34" s="777"/>
      <c r="B34" s="655"/>
      <c r="C34" s="778"/>
      <c r="D34" s="653"/>
      <c r="E34" s="779"/>
      <c r="F34" s="780"/>
      <c r="G34" s="780"/>
      <c r="H34" s="781"/>
      <c r="I34" s="782"/>
      <c r="K34" s="803" t="e">
        <f t="shared" si="0"/>
        <v>#DIV/0!</v>
      </c>
      <c r="L34" s="799" t="e">
        <f t="shared" si="1"/>
        <v>#DIV/0!</v>
      </c>
      <c r="M34" s="799" t="e">
        <f t="shared" si="2"/>
        <v>#VALUE!</v>
      </c>
      <c r="N34" s="801" t="e">
        <f t="shared" si="3"/>
        <v>#VALUE!</v>
      </c>
      <c r="O34" s="798" t="e">
        <f t="shared" si="4"/>
        <v>#DIV/0!</v>
      </c>
      <c r="P34" s="798" t="e">
        <f t="shared" si="5"/>
        <v>#DIV/0!</v>
      </c>
      <c r="Q34" s="897" t="e">
        <f t="shared" si="6"/>
        <v>#N/A</v>
      </c>
      <c r="S34" s="803" t="e">
        <f t="shared" si="7"/>
        <v>#DIV/0!</v>
      </c>
      <c r="T34" s="802" t="e">
        <f t="shared" si="8"/>
        <v>#DIV/0!</v>
      </c>
    </row>
    <row r="35" spans="1:20">
      <c r="A35" s="777"/>
      <c r="B35" s="655"/>
      <c r="C35" s="778"/>
      <c r="D35" s="653"/>
      <c r="E35" s="779"/>
      <c r="F35" s="780"/>
      <c r="G35" s="780"/>
      <c r="H35" s="781"/>
      <c r="I35" s="782"/>
      <c r="K35" s="803" t="e">
        <f t="shared" si="0"/>
        <v>#DIV/0!</v>
      </c>
      <c r="L35" s="799" t="e">
        <f t="shared" si="1"/>
        <v>#DIV/0!</v>
      </c>
      <c r="M35" s="799" t="e">
        <f t="shared" si="2"/>
        <v>#VALUE!</v>
      </c>
      <c r="N35" s="801" t="e">
        <f t="shared" si="3"/>
        <v>#VALUE!</v>
      </c>
      <c r="O35" s="798" t="e">
        <f t="shared" si="4"/>
        <v>#DIV/0!</v>
      </c>
      <c r="P35" s="798" t="e">
        <f t="shared" si="5"/>
        <v>#DIV/0!</v>
      </c>
      <c r="Q35" s="897" t="e">
        <f t="shared" si="6"/>
        <v>#N/A</v>
      </c>
      <c r="S35" s="803" t="e">
        <f t="shared" si="7"/>
        <v>#DIV/0!</v>
      </c>
      <c r="T35" s="802" t="e">
        <f t="shared" si="8"/>
        <v>#DIV/0!</v>
      </c>
    </row>
    <row r="36" spans="1:20">
      <c r="A36" s="777"/>
      <c r="B36" s="655"/>
      <c r="C36" s="778"/>
      <c r="D36" s="653"/>
      <c r="E36" s="779"/>
      <c r="F36" s="780"/>
      <c r="G36" s="780"/>
      <c r="H36" s="781"/>
      <c r="I36" s="782"/>
      <c r="K36" s="803" t="e">
        <f t="shared" si="0"/>
        <v>#DIV/0!</v>
      </c>
      <c r="L36" s="799" t="e">
        <f t="shared" si="1"/>
        <v>#DIV/0!</v>
      </c>
      <c r="M36" s="799" t="e">
        <f t="shared" si="2"/>
        <v>#VALUE!</v>
      </c>
      <c r="N36" s="801" t="e">
        <f t="shared" si="3"/>
        <v>#VALUE!</v>
      </c>
      <c r="O36" s="798" t="e">
        <f t="shared" si="4"/>
        <v>#DIV/0!</v>
      </c>
      <c r="P36" s="798" t="e">
        <f t="shared" si="5"/>
        <v>#DIV/0!</v>
      </c>
      <c r="Q36" s="897" t="e">
        <f t="shared" si="6"/>
        <v>#N/A</v>
      </c>
      <c r="S36" s="803" t="e">
        <f t="shared" si="7"/>
        <v>#DIV/0!</v>
      </c>
      <c r="T36" s="802" t="e">
        <f t="shared" si="8"/>
        <v>#DIV/0!</v>
      </c>
    </row>
    <row r="37" spans="1:20" ht="15" thickBot="1">
      <c r="A37" s="783"/>
      <c r="B37" s="658"/>
      <c r="C37" s="784"/>
      <c r="D37" s="644"/>
      <c r="E37" s="785"/>
      <c r="F37" s="786"/>
      <c r="G37" s="786"/>
      <c r="H37" s="787"/>
      <c r="I37" s="788"/>
      <c r="K37" s="805" t="e">
        <f t="shared" si="0"/>
        <v>#DIV/0!</v>
      </c>
      <c r="L37" s="810" t="e">
        <f t="shared" si="1"/>
        <v>#DIV/0!</v>
      </c>
      <c r="M37" s="810" t="e">
        <f t="shared" si="2"/>
        <v>#VALUE!</v>
      </c>
      <c r="N37" s="894" t="e">
        <f t="shared" si="3"/>
        <v>#VALUE!</v>
      </c>
      <c r="O37" s="819" t="e">
        <f t="shared" si="4"/>
        <v>#DIV/0!</v>
      </c>
      <c r="P37" s="819" t="e">
        <f t="shared" si="5"/>
        <v>#DIV/0!</v>
      </c>
      <c r="Q37" s="898" t="e">
        <f t="shared" si="6"/>
        <v>#N/A</v>
      </c>
      <c r="S37" s="805" t="e">
        <f t="shared" si="7"/>
        <v>#DIV/0!</v>
      </c>
      <c r="T37" s="814" t="e">
        <f t="shared" si="8"/>
        <v>#DIV/0!</v>
      </c>
    </row>
    <row r="38" spans="1:20">
      <c r="A38" s="221"/>
      <c r="B38" s="594" t="s">
        <v>119</v>
      </c>
      <c r="C38" s="131"/>
      <c r="D38" s="222"/>
      <c r="E38" s="191">
        <f>COUNTIFS($B$19:$B$37,$B38)</f>
        <v>0</v>
      </c>
      <c r="F38" s="192">
        <f>SUMIFS(F$19:F$37,$B$19:$B$37,$B38)</f>
        <v>0</v>
      </c>
      <c r="G38" s="192">
        <f t="shared" ref="G38:I39" si="9">SUMIFS(G$19:G$37,$B$19:$B$37,$B38)</f>
        <v>0</v>
      </c>
      <c r="H38" s="384">
        <f t="shared" si="9"/>
        <v>0</v>
      </c>
      <c r="I38" s="193">
        <f t="shared" si="9"/>
        <v>0</v>
      </c>
      <c r="K38" s="214">
        <f>SUMIFS(K$19:K$37,$B$19:$B$37,$B38)</f>
        <v>0</v>
      </c>
      <c r="L38" s="89">
        <f t="shared" ref="L38:Q39" si="10">SUMIFS(L$19:L$37,$B$19:$B$37,$B38)</f>
        <v>0</v>
      </c>
      <c r="M38" s="89">
        <f t="shared" si="10"/>
        <v>0</v>
      </c>
      <c r="N38" s="90">
        <f t="shared" si="10"/>
        <v>0</v>
      </c>
      <c r="O38" s="215"/>
      <c r="P38" s="215">
        <f t="shared" si="10"/>
        <v>0</v>
      </c>
      <c r="Q38" s="438">
        <f t="shared" si="10"/>
        <v>0</v>
      </c>
      <c r="S38" s="214"/>
      <c r="T38" s="194">
        <f>SUMIFS(T$19:T$37,$B$19:$B$37,$B38)</f>
        <v>0</v>
      </c>
    </row>
    <row r="39" spans="1:20" ht="15" thickBot="1">
      <c r="A39" s="416"/>
      <c r="B39" s="388" t="s">
        <v>547</v>
      </c>
      <c r="C39" s="295"/>
      <c r="D39" s="417"/>
      <c r="E39" s="418">
        <f>COUNTIFS($B$19:$B$37,$B39)</f>
        <v>0</v>
      </c>
      <c r="F39" s="419">
        <f t="shared" ref="F39" si="11">SUMIFS(F$19:F$37,$B$19:$B$37,$B39)</f>
        <v>0</v>
      </c>
      <c r="G39" s="419">
        <f t="shared" si="9"/>
        <v>0</v>
      </c>
      <c r="H39" s="420">
        <f t="shared" si="9"/>
        <v>0</v>
      </c>
      <c r="I39" s="421">
        <f t="shared" si="9"/>
        <v>0</v>
      </c>
      <c r="K39" s="422">
        <f>SUMIFS(K$19:K$37,$B$19:$B$37,$B39)</f>
        <v>0</v>
      </c>
      <c r="L39" s="595">
        <f t="shared" si="10"/>
        <v>0</v>
      </c>
      <c r="M39" s="595">
        <f t="shared" si="10"/>
        <v>0</v>
      </c>
      <c r="N39" s="424">
        <f t="shared" si="10"/>
        <v>0</v>
      </c>
      <c r="O39" s="423"/>
      <c r="P39" s="423">
        <f t="shared" si="10"/>
        <v>0</v>
      </c>
      <c r="Q39" s="441">
        <f t="shared" si="10"/>
        <v>0</v>
      </c>
      <c r="S39" s="422"/>
      <c r="T39" s="425">
        <f>SUMIFS(T$19:T$37,$B$19:$B$37,$B39)</f>
        <v>0</v>
      </c>
    </row>
    <row r="40" spans="1:20" ht="15" thickBot="1">
      <c r="A40" s="583"/>
      <c r="B40" s="603" t="s">
        <v>11</v>
      </c>
      <c r="C40" s="584"/>
      <c r="D40" s="582"/>
      <c r="E40" s="216">
        <f>COUNT(E$19:E$37)</f>
        <v>0</v>
      </c>
      <c r="F40" s="217">
        <f>SUM(F$19:F$37)</f>
        <v>0</v>
      </c>
      <c r="G40" s="217">
        <f t="shared" ref="G40:I40" si="12">SUM(G$19:G$37)</f>
        <v>0</v>
      </c>
      <c r="H40" s="386">
        <f t="shared" si="12"/>
        <v>0</v>
      </c>
      <c r="I40" s="203">
        <f t="shared" si="12"/>
        <v>0</v>
      </c>
      <c r="K40" s="204" t="e">
        <f t="shared" ref="K40:Q40" si="13">SUBTOTAL(109,K$19:K$37)</f>
        <v>#DIV/0!</v>
      </c>
      <c r="L40" s="100" t="e">
        <f t="shared" si="13"/>
        <v>#DIV/0!</v>
      </c>
      <c r="M40" s="382" t="e">
        <f t="shared" si="13"/>
        <v>#VALUE!</v>
      </c>
      <c r="N40" s="101" t="e">
        <f t="shared" si="13"/>
        <v>#VALUE!</v>
      </c>
      <c r="O40" s="99"/>
      <c r="P40" s="99" t="e">
        <f t="shared" si="13"/>
        <v>#DIV/0!</v>
      </c>
      <c r="Q40" s="442" t="e">
        <f t="shared" si="13"/>
        <v>#N/A</v>
      </c>
      <c r="S40" s="204"/>
      <c r="T40" s="205" t="e">
        <f>SUBTOTAL(109,T$19:T$37)</f>
        <v>#DIV/0!</v>
      </c>
    </row>
  </sheetData>
  <sheetProtection algorithmName="SHA-512" hashValue="h4CImrodcKhkiXlxFRNraqxSMCWMCQUspeaysIxLpP0UjZyz6J9aD+oCJMxDkkiGYl/0YzKCLhfkJi5vJfMvTw==" saltValue="5XjR8qQonDBKwkgFLg7vkg==" spinCount="100000" sheet="1" objects="1" scenarios="1" insertRows="0" deleteRows="0" sort="0" autoFilter="0"/>
  <autoFilter ref="A18:T18" xr:uid="{EB761274-3C17-4E98-87F5-165452D75839}"/>
  <mergeCells count="7">
    <mergeCell ref="A1:Q1"/>
    <mergeCell ref="P17:P18"/>
    <mergeCell ref="O17:O18"/>
    <mergeCell ref="S17:T17"/>
    <mergeCell ref="D4:E4"/>
    <mergeCell ref="I7:I15"/>
    <mergeCell ref="K14:P14"/>
  </mergeCells>
  <dataValidations count="3">
    <dataValidation type="list" allowBlank="1" showInputMessage="1" showErrorMessage="1" sqref="E19:E37" xr:uid="{E2D68E6E-A566-4098-8091-7014CDB10018}">
      <formula1>"AMR,MMR,DM - MR1,DM - MR3,KM"</formula1>
    </dataValidation>
    <dataValidation type="list" allowBlank="1" showInputMessage="1" showErrorMessage="1" sqref="C19:D37" xr:uid="{A4038602-1109-40CF-A5DF-7548A80A6573}">
      <formula1>"x"</formula1>
    </dataValidation>
    <dataValidation type="list" allowBlank="1" showInputMessage="1" showErrorMessage="1" sqref="B19:B37" xr:uid="{DD5BD406-1307-4A61-97CD-68E08C3699F2}">
      <formula1>$B$38:$B$39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423B-9CE9-4D2C-842B-C1FACF1FD5BB}">
  <sheetPr published="0"/>
  <dimension ref="A1:J38"/>
  <sheetViews>
    <sheetView workbookViewId="0">
      <selection activeCell="D4" sqref="D4:E4"/>
    </sheetView>
  </sheetViews>
  <sheetFormatPr defaultColWidth="20.7265625" defaultRowHeight="14.5"/>
  <cols>
    <col min="1" max="1" width="20.7265625" style="591"/>
    <col min="2" max="2" width="25.81640625" style="591" customWidth="1"/>
    <col min="3" max="7" width="20.7265625" style="591"/>
    <col min="8" max="8" width="5.7265625" style="591" customWidth="1"/>
    <col min="9" max="16384" width="20.7265625" style="591"/>
  </cols>
  <sheetData>
    <row r="1" spans="1:10" ht="30" customHeight="1" thickBot="1">
      <c r="A1" s="1425" t="s">
        <v>351</v>
      </c>
      <c r="B1" s="1426"/>
      <c r="C1" s="1426"/>
      <c r="D1" s="1426"/>
      <c r="E1" s="1426"/>
      <c r="F1" s="1426"/>
      <c r="G1" s="1494"/>
    </row>
    <row r="2" spans="1:10">
      <c r="B2" s="1"/>
      <c r="C2" s="1"/>
      <c r="D2" s="1"/>
      <c r="E2" s="1"/>
      <c r="F2" s="1"/>
    </row>
    <row r="3" spans="1:10" ht="15" thickBot="1">
      <c r="B3" s="1"/>
      <c r="C3" s="1"/>
      <c r="D3" s="1"/>
      <c r="E3" s="1"/>
      <c r="F3" s="1"/>
    </row>
    <row r="4" spans="1:10" ht="15" thickBot="1">
      <c r="B4" s="129" t="s">
        <v>6</v>
      </c>
      <c r="D4" s="1434" t="str">
        <f>DNB</f>
        <v>Naam distributienetbeheerder</v>
      </c>
      <c r="E4" s="1436"/>
      <c r="F4" s="1"/>
    </row>
    <row r="6" spans="1:10" ht="15" thickBot="1"/>
    <row r="7" spans="1:10" ht="16.5">
      <c r="D7" s="1546" t="s">
        <v>152</v>
      </c>
      <c r="E7" s="210" t="s">
        <v>353</v>
      </c>
      <c r="F7" s="453" t="e">
        <f>INDEX(Tabel3B[Injectieklanten (∑)],7)</f>
        <v>#VALUE!</v>
      </c>
      <c r="G7" s="443"/>
    </row>
    <row r="8" spans="1:10" ht="15" thickBot="1">
      <c r="D8" s="1510"/>
      <c r="E8" s="393" t="s">
        <v>572</v>
      </c>
      <c r="F8" s="435"/>
      <c r="G8" s="439" t="e">
        <f>INDEX(Tabel3B[Afnameklanten op LS (∑)],12)</f>
        <v>#DIV/0!</v>
      </c>
    </row>
    <row r="9" spans="1:10" ht="30" customHeight="1" thickBot="1">
      <c r="D9" s="1510"/>
      <c r="E9" s="211" t="s">
        <v>130</v>
      </c>
      <c r="F9" s="899">
        <v>0</v>
      </c>
      <c r="G9" s="445"/>
    </row>
    <row r="10" spans="1:10" ht="30" customHeight="1" thickBot="1">
      <c r="D10" s="1511"/>
      <c r="E10" s="213" t="s">
        <v>136</v>
      </c>
      <c r="F10" s="390"/>
      <c r="G10" s="446"/>
    </row>
    <row r="11" spans="1:10" ht="15" thickBot="1"/>
    <row r="12" spans="1:10" ht="30" customHeight="1" thickBot="1">
      <c r="F12" s="1544" t="s">
        <v>83</v>
      </c>
      <c r="G12" s="1547" t="s">
        <v>84</v>
      </c>
      <c r="I12" s="1498" t="s">
        <v>138</v>
      </c>
      <c r="J12" s="1483"/>
    </row>
    <row r="13" spans="1:10" ht="17" thickBot="1">
      <c r="A13" s="602" t="s">
        <v>146</v>
      </c>
      <c r="B13" s="183" t="s">
        <v>107</v>
      </c>
      <c r="C13" s="185" t="s">
        <v>25</v>
      </c>
      <c r="D13" s="187" t="s">
        <v>353</v>
      </c>
      <c r="F13" s="1545"/>
      <c r="G13" s="1548"/>
      <c r="I13" s="188" t="s">
        <v>130</v>
      </c>
      <c r="J13" s="189" t="s">
        <v>131</v>
      </c>
    </row>
    <row r="14" spans="1:10">
      <c r="A14" s="769"/>
      <c r="B14" s="770"/>
      <c r="C14" s="773"/>
      <c r="D14" s="776"/>
      <c r="F14" s="812" t="e">
        <f>$D14*$F$7</f>
        <v>#VALUE!</v>
      </c>
      <c r="G14" s="896" t="e">
        <f>INDEX($G$8:$G$8,MATCH($C14,$E$8:$E$8,0))</f>
        <v>#N/A</v>
      </c>
      <c r="I14" s="812">
        <f>$F$9*$D14</f>
        <v>0</v>
      </c>
      <c r="J14" s="813" t="e">
        <f>MAX($F14-$I14,0)</f>
        <v>#VALUE!</v>
      </c>
    </row>
    <row r="15" spans="1:10">
      <c r="A15" s="777"/>
      <c r="B15" s="655"/>
      <c r="C15" s="779"/>
      <c r="D15" s="782"/>
      <c r="F15" s="803" t="e">
        <f>$D15*$F$7</f>
        <v>#VALUE!</v>
      </c>
      <c r="G15" s="897" t="e">
        <f t="shared" ref="G15:G32" si="0">INDEX($G$8:$G$8,MATCH($C15,$E$8:$E$8,0))</f>
        <v>#N/A</v>
      </c>
      <c r="I15" s="803">
        <f t="shared" ref="I15:I32" si="1">$F$9*$D15</f>
        <v>0</v>
      </c>
      <c r="J15" s="802" t="e">
        <f t="shared" ref="J15:J32" si="2">MAX($F15-$I15,0)</f>
        <v>#VALUE!</v>
      </c>
    </row>
    <row r="16" spans="1:10">
      <c r="A16" s="777"/>
      <c r="B16" s="655"/>
      <c r="C16" s="779"/>
      <c r="D16" s="782"/>
      <c r="F16" s="803" t="e">
        <f t="shared" ref="F16:F31" si="3">$D16*$F$7</f>
        <v>#VALUE!</v>
      </c>
      <c r="G16" s="897" t="e">
        <f t="shared" si="0"/>
        <v>#N/A</v>
      </c>
      <c r="I16" s="803">
        <f t="shared" si="1"/>
        <v>0</v>
      </c>
      <c r="J16" s="802" t="e">
        <f t="shared" si="2"/>
        <v>#VALUE!</v>
      </c>
    </row>
    <row r="17" spans="1:10">
      <c r="A17" s="777"/>
      <c r="B17" s="655"/>
      <c r="C17" s="779"/>
      <c r="D17" s="782"/>
      <c r="F17" s="803" t="e">
        <f t="shared" si="3"/>
        <v>#VALUE!</v>
      </c>
      <c r="G17" s="897" t="e">
        <f t="shared" si="0"/>
        <v>#N/A</v>
      </c>
      <c r="I17" s="803">
        <f t="shared" si="1"/>
        <v>0</v>
      </c>
      <c r="J17" s="802" t="e">
        <f t="shared" si="2"/>
        <v>#VALUE!</v>
      </c>
    </row>
    <row r="18" spans="1:10">
      <c r="A18" s="777"/>
      <c r="B18" s="655"/>
      <c r="C18" s="779"/>
      <c r="D18" s="782"/>
      <c r="F18" s="803" t="e">
        <f t="shared" si="3"/>
        <v>#VALUE!</v>
      </c>
      <c r="G18" s="897" t="e">
        <f t="shared" si="0"/>
        <v>#N/A</v>
      </c>
      <c r="I18" s="803">
        <f t="shared" si="1"/>
        <v>0</v>
      </c>
      <c r="J18" s="802" t="e">
        <f t="shared" si="2"/>
        <v>#VALUE!</v>
      </c>
    </row>
    <row r="19" spans="1:10">
      <c r="A19" s="777"/>
      <c r="B19" s="655"/>
      <c r="C19" s="779"/>
      <c r="D19" s="782"/>
      <c r="F19" s="803" t="e">
        <f t="shared" si="3"/>
        <v>#VALUE!</v>
      </c>
      <c r="G19" s="897" t="e">
        <f t="shared" si="0"/>
        <v>#N/A</v>
      </c>
      <c r="I19" s="803">
        <f t="shared" si="1"/>
        <v>0</v>
      </c>
      <c r="J19" s="802" t="e">
        <f t="shared" si="2"/>
        <v>#VALUE!</v>
      </c>
    </row>
    <row r="20" spans="1:10">
      <c r="A20" s="777"/>
      <c r="B20" s="655"/>
      <c r="C20" s="779"/>
      <c r="D20" s="782"/>
      <c r="F20" s="803" t="e">
        <f t="shared" si="3"/>
        <v>#VALUE!</v>
      </c>
      <c r="G20" s="897" t="e">
        <f t="shared" si="0"/>
        <v>#N/A</v>
      </c>
      <c r="I20" s="803">
        <f t="shared" si="1"/>
        <v>0</v>
      </c>
      <c r="J20" s="802" t="e">
        <f t="shared" si="2"/>
        <v>#VALUE!</v>
      </c>
    </row>
    <row r="21" spans="1:10">
      <c r="A21" s="777"/>
      <c r="B21" s="655"/>
      <c r="C21" s="779"/>
      <c r="D21" s="782"/>
      <c r="F21" s="803" t="e">
        <f t="shared" si="3"/>
        <v>#VALUE!</v>
      </c>
      <c r="G21" s="897" t="e">
        <f>INDEX($G$8:$G$8,MATCH($C21,$E$8:$E$8,0))</f>
        <v>#N/A</v>
      </c>
      <c r="I21" s="803">
        <f t="shared" si="1"/>
        <v>0</v>
      </c>
      <c r="J21" s="802" t="e">
        <f t="shared" si="2"/>
        <v>#VALUE!</v>
      </c>
    </row>
    <row r="22" spans="1:10">
      <c r="A22" s="777"/>
      <c r="B22" s="655"/>
      <c r="C22" s="779"/>
      <c r="D22" s="782"/>
      <c r="F22" s="803" t="e">
        <f t="shared" si="3"/>
        <v>#VALUE!</v>
      </c>
      <c r="G22" s="897" t="e">
        <f t="shared" si="0"/>
        <v>#N/A</v>
      </c>
      <c r="I22" s="803">
        <f t="shared" si="1"/>
        <v>0</v>
      </c>
      <c r="J22" s="802" t="e">
        <f t="shared" si="2"/>
        <v>#VALUE!</v>
      </c>
    </row>
    <row r="23" spans="1:10">
      <c r="A23" s="777"/>
      <c r="B23" s="655"/>
      <c r="C23" s="779"/>
      <c r="D23" s="782"/>
      <c r="F23" s="803" t="e">
        <f t="shared" si="3"/>
        <v>#VALUE!</v>
      </c>
      <c r="G23" s="897" t="e">
        <f t="shared" si="0"/>
        <v>#N/A</v>
      </c>
      <c r="I23" s="803">
        <f t="shared" si="1"/>
        <v>0</v>
      </c>
      <c r="J23" s="802" t="e">
        <f t="shared" si="2"/>
        <v>#VALUE!</v>
      </c>
    </row>
    <row r="24" spans="1:10">
      <c r="A24" s="777"/>
      <c r="B24" s="655"/>
      <c r="C24" s="779"/>
      <c r="D24" s="782"/>
      <c r="F24" s="803" t="e">
        <f t="shared" si="3"/>
        <v>#VALUE!</v>
      </c>
      <c r="G24" s="897" t="e">
        <f t="shared" si="0"/>
        <v>#N/A</v>
      </c>
      <c r="I24" s="803">
        <f t="shared" si="1"/>
        <v>0</v>
      </c>
      <c r="J24" s="802" t="e">
        <f t="shared" si="2"/>
        <v>#VALUE!</v>
      </c>
    </row>
    <row r="25" spans="1:10">
      <c r="A25" s="777"/>
      <c r="B25" s="655"/>
      <c r="C25" s="779"/>
      <c r="D25" s="782"/>
      <c r="F25" s="803" t="e">
        <f t="shared" si="3"/>
        <v>#VALUE!</v>
      </c>
      <c r="G25" s="897" t="e">
        <f t="shared" si="0"/>
        <v>#N/A</v>
      </c>
      <c r="I25" s="803">
        <f t="shared" si="1"/>
        <v>0</v>
      </c>
      <c r="J25" s="802" t="e">
        <f t="shared" si="2"/>
        <v>#VALUE!</v>
      </c>
    </row>
    <row r="26" spans="1:10">
      <c r="A26" s="777"/>
      <c r="B26" s="655"/>
      <c r="C26" s="779"/>
      <c r="D26" s="782"/>
      <c r="F26" s="803" t="e">
        <f t="shared" si="3"/>
        <v>#VALUE!</v>
      </c>
      <c r="G26" s="897" t="e">
        <f t="shared" si="0"/>
        <v>#N/A</v>
      </c>
      <c r="I26" s="803">
        <f t="shared" si="1"/>
        <v>0</v>
      </c>
      <c r="J26" s="802" t="e">
        <f t="shared" si="2"/>
        <v>#VALUE!</v>
      </c>
    </row>
    <row r="27" spans="1:10">
      <c r="A27" s="777"/>
      <c r="B27" s="655"/>
      <c r="C27" s="779"/>
      <c r="D27" s="782"/>
      <c r="F27" s="803" t="e">
        <f t="shared" si="3"/>
        <v>#VALUE!</v>
      </c>
      <c r="G27" s="897" t="e">
        <f t="shared" si="0"/>
        <v>#N/A</v>
      </c>
      <c r="I27" s="803">
        <f t="shared" si="1"/>
        <v>0</v>
      </c>
      <c r="J27" s="802" t="e">
        <f t="shared" si="2"/>
        <v>#VALUE!</v>
      </c>
    </row>
    <row r="28" spans="1:10">
      <c r="A28" s="777"/>
      <c r="B28" s="655"/>
      <c r="C28" s="779"/>
      <c r="D28" s="782"/>
      <c r="F28" s="803" t="e">
        <f t="shared" si="3"/>
        <v>#VALUE!</v>
      </c>
      <c r="G28" s="897" t="e">
        <f t="shared" si="0"/>
        <v>#N/A</v>
      </c>
      <c r="I28" s="803">
        <f t="shared" si="1"/>
        <v>0</v>
      </c>
      <c r="J28" s="802" t="e">
        <f t="shared" si="2"/>
        <v>#VALUE!</v>
      </c>
    </row>
    <row r="29" spans="1:10">
      <c r="A29" s="777"/>
      <c r="B29" s="655"/>
      <c r="C29" s="779"/>
      <c r="D29" s="782"/>
      <c r="F29" s="803" t="e">
        <f t="shared" si="3"/>
        <v>#VALUE!</v>
      </c>
      <c r="G29" s="897" t="e">
        <f t="shared" si="0"/>
        <v>#N/A</v>
      </c>
      <c r="I29" s="803">
        <f t="shared" si="1"/>
        <v>0</v>
      </c>
      <c r="J29" s="802" t="e">
        <f t="shared" si="2"/>
        <v>#VALUE!</v>
      </c>
    </row>
    <row r="30" spans="1:10">
      <c r="A30" s="777"/>
      <c r="B30" s="655"/>
      <c r="C30" s="779"/>
      <c r="D30" s="782"/>
      <c r="F30" s="803" t="e">
        <f t="shared" si="3"/>
        <v>#VALUE!</v>
      </c>
      <c r="G30" s="897" t="e">
        <f t="shared" si="0"/>
        <v>#N/A</v>
      </c>
      <c r="I30" s="803">
        <f t="shared" si="1"/>
        <v>0</v>
      </c>
      <c r="J30" s="802" t="e">
        <f t="shared" si="2"/>
        <v>#VALUE!</v>
      </c>
    </row>
    <row r="31" spans="1:10">
      <c r="A31" s="777"/>
      <c r="B31" s="655"/>
      <c r="C31" s="779"/>
      <c r="D31" s="782"/>
      <c r="F31" s="803" t="e">
        <f t="shared" si="3"/>
        <v>#VALUE!</v>
      </c>
      <c r="G31" s="897" t="e">
        <f t="shared" si="0"/>
        <v>#N/A</v>
      </c>
      <c r="I31" s="803">
        <f t="shared" si="1"/>
        <v>0</v>
      </c>
      <c r="J31" s="802" t="e">
        <f t="shared" si="2"/>
        <v>#VALUE!</v>
      </c>
    </row>
    <row r="32" spans="1:10" ht="15" thickBot="1">
      <c r="A32" s="783"/>
      <c r="B32" s="658"/>
      <c r="C32" s="785"/>
      <c r="D32" s="788"/>
      <c r="F32" s="805" t="e">
        <f>$D32*$F$7</f>
        <v>#VALUE!</v>
      </c>
      <c r="G32" s="898" t="e">
        <f t="shared" si="0"/>
        <v>#N/A</v>
      </c>
      <c r="I32" s="805">
        <f t="shared" si="1"/>
        <v>0</v>
      </c>
      <c r="J32" s="814" t="e">
        <f t="shared" si="2"/>
        <v>#VALUE!</v>
      </c>
    </row>
    <row r="33" spans="1:10">
      <c r="A33" s="221"/>
      <c r="B33" s="594" t="s">
        <v>209</v>
      </c>
      <c r="C33" s="191">
        <f>COUNTIFS($B$14:$B$32,$B33)</f>
        <v>0</v>
      </c>
      <c r="D33" s="193">
        <f>SUMIFS(D$14:D$32,$B$14:$B$32,$B33)</f>
        <v>0</v>
      </c>
      <c r="F33" s="214">
        <f>SUMIFS(F$14:F$32,$B$14:$B$32,$B33)</f>
        <v>0</v>
      </c>
      <c r="G33" s="438">
        <f>SUMIFS(G$14:G$32,$B$14:$B$32,$B33)</f>
        <v>0</v>
      </c>
      <c r="I33" s="214"/>
      <c r="J33" s="194">
        <f>SUMIFS(J$14:J$32,$B$14:$B$32,$B33)</f>
        <v>0</v>
      </c>
    </row>
    <row r="34" spans="1:10">
      <c r="A34" s="391"/>
      <c r="B34" s="387" t="s">
        <v>267</v>
      </c>
      <c r="C34" s="454">
        <f>COUNTIFS($B$14:$B$32,$B34)</f>
        <v>0</v>
      </c>
      <c r="D34" s="455">
        <f>SUMIFS(D$14:D$32,$B$14:$B$32,$B34)</f>
        <v>0</v>
      </c>
      <c r="F34" s="195">
        <f t="shared" ref="F34:G36" si="4">SUMIFS(F$14:F$32,$B$14:$B$32,$B34)</f>
        <v>0</v>
      </c>
      <c r="G34" s="439">
        <f t="shared" si="4"/>
        <v>0</v>
      </c>
      <c r="I34" s="195"/>
      <c r="J34" s="196">
        <f>SUMIFS(J$14:J$32,$B$14:$B$32,$B34)</f>
        <v>0</v>
      </c>
    </row>
    <row r="35" spans="1:10">
      <c r="A35" s="391"/>
      <c r="B35" s="387" t="s">
        <v>271</v>
      </c>
      <c r="C35" s="454">
        <f>COUNTIFS($B$14:$B$32,$B35)</f>
        <v>0</v>
      </c>
      <c r="D35" s="455">
        <f>SUMIFS(D$14:D$32,$B$14:$B$32,$B35)</f>
        <v>0</v>
      </c>
      <c r="F35" s="195">
        <f t="shared" si="4"/>
        <v>0</v>
      </c>
      <c r="G35" s="439">
        <f t="shared" si="4"/>
        <v>0</v>
      </c>
      <c r="I35" s="195"/>
      <c r="J35" s="196">
        <f>SUMIFS(J$14:J$32,$B$14:$B$32,$B35)</f>
        <v>0</v>
      </c>
    </row>
    <row r="36" spans="1:10">
      <c r="A36" s="391"/>
      <c r="B36" s="387" t="s">
        <v>104</v>
      </c>
      <c r="C36" s="454">
        <f>COUNTIFS($B$14:$B$32,$B36)</f>
        <v>0</v>
      </c>
      <c r="D36" s="455">
        <f>SUMIFS(D$14:D$32,$B$14:$B$32,$B36)</f>
        <v>0</v>
      </c>
      <c r="F36" s="195">
        <f t="shared" si="4"/>
        <v>0</v>
      </c>
      <c r="G36" s="439">
        <f t="shared" si="4"/>
        <v>0</v>
      </c>
      <c r="I36" s="195"/>
      <c r="J36" s="196">
        <f>SUMIFS(J$14:J$32,$B$14:$B$32,$B36)</f>
        <v>0</v>
      </c>
    </row>
    <row r="37" spans="1:10" ht="15" thickBot="1">
      <c r="A37" s="219"/>
      <c r="B37" s="218" t="s">
        <v>105</v>
      </c>
      <c r="C37" s="197">
        <f>COUNTIFS($B$14:$B$32,$B37)</f>
        <v>0</v>
      </c>
      <c r="D37" s="199">
        <f>SUMIFS(D$14:D$32,$B$14:$B$32,$B37)</f>
        <v>0</v>
      </c>
      <c r="F37" s="200">
        <f>SUMIFS(F$14:F$32,$B$14:$B$32,$B37)</f>
        <v>0</v>
      </c>
      <c r="G37" s="440">
        <f>SUMIFS(G$14:G$32,$B$14:$B$32,$B37)</f>
        <v>0</v>
      </c>
      <c r="I37" s="200"/>
      <c r="J37" s="202">
        <f>SUMIFS(J$14:J$32,$B$14:$B$32,$B37)</f>
        <v>0</v>
      </c>
    </row>
    <row r="38" spans="1:10" ht="15" thickBot="1">
      <c r="A38" s="1495" t="s">
        <v>11</v>
      </c>
      <c r="B38" s="1496"/>
      <c r="C38" s="216">
        <f>COUNT(C$14:C$32)</f>
        <v>0</v>
      </c>
      <c r="D38" s="203">
        <f>SUM(D$14:D$32)</f>
        <v>0</v>
      </c>
      <c r="F38" s="204" t="e">
        <f>SUBTOTAL(109,F$14:F$32)</f>
        <v>#VALUE!</v>
      </c>
      <c r="G38" s="442" t="e">
        <f>SUBTOTAL(109,G$14:G$32)</f>
        <v>#N/A</v>
      </c>
      <c r="I38" s="204"/>
      <c r="J38" s="205" t="e">
        <f>SUBTOTAL(109,J$14:J$32)</f>
        <v>#VALUE!</v>
      </c>
    </row>
  </sheetData>
  <sheetProtection algorithmName="SHA-512" hashValue="NKYigjxT6FSCiGPQZxADHWEcGmvlPoAK0BeRmBbI54S8yRvubOJS1H0b8SZzMrhA+fZi9fD7YxWMfAvcW7W04w==" saltValue="QTpfcOzIvm90ZslfCJjv3g==" spinCount="100000" sheet="1" objects="1" scenarios="1" insertRows="0" deleteRows="0" sort="0" autoFilter="0"/>
  <autoFilter ref="A13:J13" xr:uid="{3B76E3B9-BE4A-492F-A0E4-79F36F80CE58}"/>
  <mergeCells count="7">
    <mergeCell ref="I12:J12"/>
    <mergeCell ref="A38:B38"/>
    <mergeCell ref="F12:F13"/>
    <mergeCell ref="A1:G1"/>
    <mergeCell ref="D4:E4"/>
    <mergeCell ref="D7:D10"/>
    <mergeCell ref="G12:G13"/>
  </mergeCells>
  <dataValidations count="2">
    <dataValidation type="list" allowBlank="1" showInputMessage="1" showErrorMessage="1" sqref="B14:B32" xr:uid="{DE1CD79D-929A-43B2-B47E-5C38BEFBC650}">
      <formula1>$B$33:$B$37</formula1>
    </dataValidation>
    <dataValidation type="list" allowBlank="1" showInputMessage="1" showErrorMessage="1" sqref="C14:C32" xr:uid="{197E9411-11E8-44DE-BDBB-07FC9D32B10F}">
      <formula1>"AMR,MMR,DM - MR1,DM - MR3,KM,PROD"</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Blad3">
    <pageSetUpPr fitToPage="1"/>
  </sheetPr>
  <dimension ref="A1:AF94"/>
  <sheetViews>
    <sheetView showGridLines="0" zoomScaleNormal="100" workbookViewId="0">
      <selection activeCell="E4" sqref="E4:G4"/>
    </sheetView>
  </sheetViews>
  <sheetFormatPr defaultColWidth="10.7265625" defaultRowHeight="15" customHeight="1"/>
  <cols>
    <col min="1" max="3" width="10.7265625" style="46" customWidth="1"/>
    <col min="4" max="4" width="20.7265625" style="51" customWidth="1"/>
    <col min="5" max="5" width="10.7265625" style="46" customWidth="1"/>
    <col min="6" max="6" width="20.7265625" style="46" customWidth="1"/>
    <col min="7" max="7" width="10.7265625" style="46" customWidth="1"/>
    <col min="8" max="8" width="20.7265625" style="46" customWidth="1"/>
    <col min="9" max="9" width="10.7265625" style="46" customWidth="1"/>
    <col min="10" max="10" width="20.7265625" style="46" customWidth="1"/>
    <col min="11" max="11" width="10.7265625" style="46" customWidth="1"/>
    <col min="12" max="12" width="20.7265625" style="46" customWidth="1"/>
    <col min="13" max="16384" width="10.7265625" style="46"/>
  </cols>
  <sheetData>
    <row r="1" spans="1:32" s="39" customFormat="1" ht="30" customHeight="1" thickBot="1">
      <c r="A1" s="1425" t="str">
        <f>"TABEL 1: Budget per tariefcomponent voor gereguleerde activiteit 'elektriciteit'"</f>
        <v>TABEL 1: Budget per tariefcomponent voor gereguleerde activiteit 'elektriciteit'</v>
      </c>
      <c r="B1" s="1426"/>
      <c r="C1" s="1426"/>
      <c r="D1" s="1426"/>
      <c r="E1" s="1426"/>
      <c r="F1" s="1426"/>
      <c r="G1" s="1426"/>
      <c r="H1" s="1426"/>
      <c r="I1" s="1426"/>
      <c r="J1" s="1426"/>
      <c r="K1" s="1426"/>
      <c r="L1" s="1494"/>
    </row>
    <row r="2" spans="1:32" s="39" customFormat="1" ht="15" customHeight="1">
      <c r="A2" s="52"/>
      <c r="B2" s="52"/>
      <c r="C2" s="52"/>
      <c r="D2" s="52"/>
      <c r="E2" s="52"/>
      <c r="F2" s="52"/>
      <c r="G2" s="52"/>
      <c r="H2" s="52"/>
      <c r="I2" s="52"/>
      <c r="J2" s="52"/>
    </row>
    <row r="3" spans="1:32" s="41" customFormat="1" ht="15" customHeight="1" thickBot="1">
      <c r="A3" s="40"/>
      <c r="B3" s="40"/>
      <c r="C3" s="40"/>
      <c r="D3" s="40"/>
    </row>
    <row r="4" spans="1:32" s="3" customFormat="1" ht="20.25" customHeight="1" thickBot="1">
      <c r="B4" s="42" t="s">
        <v>6</v>
      </c>
      <c r="C4" s="43"/>
      <c r="E4" s="1434" t="str">
        <f>DNB</f>
        <v>Naam distributienetbeheerder</v>
      </c>
      <c r="F4" s="1435"/>
      <c r="G4" s="1436"/>
      <c r="H4" s="44"/>
      <c r="I4" s="44"/>
      <c r="J4" s="44"/>
      <c r="T4" s="44"/>
      <c r="U4" s="44"/>
      <c r="V4" s="44"/>
      <c r="W4" s="44"/>
      <c r="X4" s="44"/>
      <c r="Y4" s="44"/>
      <c r="Z4" s="44"/>
      <c r="AA4" s="44"/>
      <c r="AB4" s="44"/>
      <c r="AC4" s="44"/>
      <c r="AD4" s="44"/>
      <c r="AE4" s="44"/>
      <c r="AF4" s="45"/>
    </row>
    <row r="5" spans="1:32" ht="15" customHeight="1">
      <c r="A5" s="103"/>
      <c r="B5" s="103"/>
      <c r="C5" s="103"/>
      <c r="D5" s="103"/>
      <c r="E5" s="103"/>
      <c r="F5" s="103"/>
      <c r="G5" s="103"/>
      <c r="H5" s="103"/>
    </row>
    <row r="6" spans="1:32" ht="15" customHeight="1" thickBot="1">
      <c r="A6" s="103"/>
      <c r="B6" s="103"/>
      <c r="C6" s="103"/>
      <c r="D6" s="103"/>
      <c r="E6" s="103"/>
      <c r="F6" s="103"/>
      <c r="G6" s="103"/>
      <c r="H6" s="103"/>
      <c r="I6" s="103"/>
      <c r="J6" s="103"/>
    </row>
    <row r="7" spans="1:32" s="47" customFormat="1" ht="15" customHeight="1">
      <c r="A7" s="1549" t="s">
        <v>165</v>
      </c>
      <c r="B7" s="1550"/>
      <c r="C7" s="1551"/>
      <c r="D7" s="1560" t="s">
        <v>524</v>
      </c>
      <c r="E7" s="1561"/>
      <c r="F7" s="1561"/>
      <c r="G7" s="1562"/>
      <c r="H7" s="1560" t="s">
        <v>525</v>
      </c>
      <c r="I7" s="1561"/>
      <c r="J7" s="1561"/>
      <c r="K7" s="1562"/>
      <c r="L7" s="104" t="s">
        <v>24</v>
      </c>
      <c r="M7" s="103"/>
      <c r="N7" s="103"/>
    </row>
    <row r="8" spans="1:32" s="47" customFormat="1" ht="15" customHeight="1">
      <c r="A8" s="1552"/>
      <c r="B8" s="1553"/>
      <c r="C8" s="1554"/>
      <c r="D8" s="1558" t="s">
        <v>166</v>
      </c>
      <c r="E8" s="1559"/>
      <c r="F8" s="1558" t="s">
        <v>167</v>
      </c>
      <c r="G8" s="1559"/>
      <c r="H8" s="1558" t="s">
        <v>166</v>
      </c>
      <c r="I8" s="1559"/>
      <c r="J8" s="1558" t="s">
        <v>167</v>
      </c>
      <c r="K8" s="1559"/>
      <c r="L8" s="567"/>
      <c r="M8" s="103"/>
      <c r="N8" s="103"/>
    </row>
    <row r="9" spans="1:32" s="48" customFormat="1" ht="15" customHeight="1" thickBot="1">
      <c r="A9" s="1555"/>
      <c r="B9" s="1556"/>
      <c r="C9" s="1557"/>
      <c r="D9" s="105" t="s">
        <v>26</v>
      </c>
      <c r="E9" s="106" t="s">
        <v>20</v>
      </c>
      <c r="F9" s="105"/>
      <c r="G9" s="106"/>
      <c r="H9" s="105"/>
      <c r="I9" s="106"/>
      <c r="J9" s="105" t="s">
        <v>26</v>
      </c>
      <c r="K9" s="106" t="s">
        <v>20</v>
      </c>
      <c r="L9" s="107" t="s">
        <v>26</v>
      </c>
      <c r="M9" s="103"/>
      <c r="N9" s="103"/>
    </row>
    <row r="10" spans="1:32" s="2" customFormat="1" ht="20.25" customHeight="1">
      <c r="A10" s="108" t="s">
        <v>83</v>
      </c>
      <c r="B10" s="109"/>
      <c r="C10" s="109"/>
      <c r="D10" s="110">
        <f>SUMIFS(Tabel2[Afnameklanten (∑)],Tabel2[Tariefcomponent],$A10,Tabel2[Kostenindeling 1],"Exogeen")</f>
        <v>0</v>
      </c>
      <c r="E10" s="111" t="str">
        <f>IF(ISNUMBER($D10/($D10+$F10)),ROUND($D10/($D10+$F10),2),"")</f>
        <v/>
      </c>
      <c r="F10" s="110" t="e">
        <f>SUMIFS(Tabel2[Afnameklanten (∑)],Tabel2[Tariefcomponent],$A10,Tabel2[Kostenindeling 1],"Endogeen")</f>
        <v>#VALUE!</v>
      </c>
      <c r="G10" s="111" t="str">
        <f>IF(ISNUMBER($F10/($D10+$F10)),ROUND($F10/($D10+$F10),2),"")</f>
        <v/>
      </c>
      <c r="H10" s="110">
        <f>SUMIFS(Tabel2[Injectieklanten (∑)],Tabel2[Tariefcomponent],$A10,Tabel2[Kostenindeling 1],"Exogeen")</f>
        <v>0</v>
      </c>
      <c r="I10" s="111" t="str">
        <f>IF(ISNUMBER($H10/($H10+$J10)),ROUND($H10/($H10+$J10),2),"")</f>
        <v/>
      </c>
      <c r="J10" s="110" t="e">
        <f>SUMIFS(Tabel2[Injectieklanten (∑)],Tabel2[Tariefcomponent],$A10,Tabel2[Kostenindeling 1],"Endogeen")</f>
        <v>#VALUE!</v>
      </c>
      <c r="K10" s="111" t="str">
        <f>IF(ISNUMBER($J10/($H10+$J10)),ROUND($J10/($H10+$J10),2),"")</f>
        <v/>
      </c>
      <c r="L10" s="112">
        <f>SUMIFS(Tabel2[Totale budget],Tabel2[Tariefcomponent],$A10)</f>
        <v>0</v>
      </c>
      <c r="M10" s="103"/>
      <c r="N10" s="103"/>
    </row>
    <row r="11" spans="1:32" s="2" customFormat="1" ht="20.25" customHeight="1">
      <c r="A11" s="113" t="s">
        <v>13</v>
      </c>
      <c r="B11" s="114"/>
      <c r="C11" s="114"/>
      <c r="D11" s="115">
        <f>SUMIFS(Tabel2[Afnameklanten (∑)],Tabel2[Tariefcomponent],$A11,Tabel2[Kostenindeling 1],"Exogeen")</f>
        <v>0</v>
      </c>
      <c r="E11" s="116" t="str">
        <f t="shared" ref="E11:E16" si="0">IF(ISNUMBER($D11/($D11+$F11)),ROUND($D11/($D11+$F11),2),"")</f>
        <v/>
      </c>
      <c r="F11" s="115">
        <f>SUMIFS(Tabel2[Afnameklanten (∑)],Tabel2[Tariefcomponent],$A11,Tabel2[Kostenindeling 1],"Endogeen")</f>
        <v>0</v>
      </c>
      <c r="G11" s="116" t="str">
        <f t="shared" ref="G11:G16" si="1">IF(ISNUMBER($F11/($D11+$F11)),ROUND($F11/($D11+$F11),2),"")</f>
        <v/>
      </c>
      <c r="H11" s="115">
        <f>SUMIFS(Tabel2[Injectieklanten (∑)],Tabel2[Tariefcomponent],$A11,Tabel2[Kostenindeling 1],"Exogeen")</f>
        <v>0</v>
      </c>
      <c r="I11" s="116" t="str">
        <f t="shared" ref="I11:I16" si="2">IF(ISNUMBER($H11/($H11+$J11)),ROUND($H11/($H11+$J11),2),"")</f>
        <v/>
      </c>
      <c r="J11" s="115">
        <f>SUMIFS(Tabel2[Injectieklanten (∑)],Tabel2[Tariefcomponent],$A11,Tabel2[Kostenindeling 1],"Endogeen")</f>
        <v>0</v>
      </c>
      <c r="K11" s="116" t="str">
        <f t="shared" ref="K11:K16" si="3">IF(ISNUMBER($J11/($H11+$J11)),ROUND($J11/($H11+$J11),2),"")</f>
        <v/>
      </c>
      <c r="L11" s="117">
        <f>SUMIFS(Tabel2[Totale budget],Tabel2[Tariefcomponent],$A11)</f>
        <v>0</v>
      </c>
      <c r="N11" s="103"/>
    </row>
    <row r="12" spans="1:32" s="2" customFormat="1" ht="20.25" customHeight="1">
      <c r="A12" s="113" t="s">
        <v>84</v>
      </c>
      <c r="B12" s="114"/>
      <c r="C12" s="114"/>
      <c r="D12" s="115">
        <f>SUMIFS(Tabel2[Afnameklanten (∑)],Tabel2[Tariefcomponent],$A12,Tabel2[Kostenindeling 1],"Exogeen")</f>
        <v>0</v>
      </c>
      <c r="E12" s="116" t="str">
        <f t="shared" si="0"/>
        <v/>
      </c>
      <c r="F12" s="115" t="e">
        <f>SUMIFS(Tabel2[Afnameklanten (∑)],Tabel2[Tariefcomponent],$A12,Tabel2[Kostenindeling 1],"Endogeen")</f>
        <v>#VALUE!</v>
      </c>
      <c r="G12" s="116" t="str">
        <f t="shared" si="1"/>
        <v/>
      </c>
      <c r="H12" s="115">
        <f>SUMIFS(Tabel2[Injectieklanten (∑)],Tabel2[Tariefcomponent],$A12,Tabel2[Kostenindeling 1],"Exogeen")</f>
        <v>0</v>
      </c>
      <c r="I12" s="116" t="str">
        <f t="shared" si="2"/>
        <v/>
      </c>
      <c r="J12" s="115" t="e">
        <f>SUMIFS(Tabel2[Injectieklanten (∑)],Tabel2[Tariefcomponent],$A12,Tabel2[Kostenindeling 1],"Endogeen")</f>
        <v>#VALUE!</v>
      </c>
      <c r="K12" s="116" t="str">
        <f t="shared" si="3"/>
        <v/>
      </c>
      <c r="L12" s="117">
        <f>SUMIFS(Tabel2[Totale budget],Tabel2[Tariefcomponent],$A12)</f>
        <v>0</v>
      </c>
      <c r="M12" s="103"/>
      <c r="N12" s="103"/>
    </row>
    <row r="13" spans="1:32" s="2" customFormat="1" ht="20.25" customHeight="1">
      <c r="A13" s="113" t="s">
        <v>85</v>
      </c>
      <c r="B13" s="114"/>
      <c r="C13" s="114"/>
      <c r="D13" s="115">
        <f>SUMIFS(Tabel2[Afnameklanten (∑)],Tabel2[Tariefcomponent],$A13,Tabel2[Kostenindeling 1],"Exogeen")</f>
        <v>0</v>
      </c>
      <c r="E13" s="116" t="str">
        <f t="shared" si="0"/>
        <v/>
      </c>
      <c r="F13" s="115">
        <f>SUMIFS(Tabel2[Afnameklanten (∑)],Tabel2[Tariefcomponent],$A13,Tabel2[Kostenindeling 1],"Endogeen")</f>
        <v>0</v>
      </c>
      <c r="G13" s="116" t="str">
        <f t="shared" si="1"/>
        <v/>
      </c>
      <c r="H13" s="115">
        <f>SUMIFS(Tabel2[Injectieklanten (∑)],Tabel2[Tariefcomponent],$A13,Tabel2[Kostenindeling 1],"Exogeen")</f>
        <v>0</v>
      </c>
      <c r="I13" s="116" t="str">
        <f t="shared" si="2"/>
        <v/>
      </c>
      <c r="J13" s="115">
        <f>SUMIFS(Tabel2[Injectieklanten (∑)],Tabel2[Tariefcomponent],$A13,Tabel2[Kostenindeling 1],"Endogeen")</f>
        <v>0</v>
      </c>
      <c r="K13" s="116" t="str">
        <f t="shared" si="3"/>
        <v/>
      </c>
      <c r="L13" s="117">
        <f>SUMIFS(Tabel2[Totale budget],Tabel2[Tariefcomponent],$A13)</f>
        <v>0</v>
      </c>
      <c r="M13" s="103"/>
      <c r="N13" s="103"/>
    </row>
    <row r="14" spans="1:32" s="2" customFormat="1" ht="20.25" customHeight="1">
      <c r="A14" s="113" t="s">
        <v>9</v>
      </c>
      <c r="B14" s="114"/>
      <c r="C14" s="114"/>
      <c r="D14" s="115">
        <f>SUMIFS(Tabel2[Afnameklanten (∑)],Tabel2[Tariefcomponent],$A14,Tabel2[Kostenindeling 1],"Exogeen")</f>
        <v>0</v>
      </c>
      <c r="E14" s="116" t="str">
        <f t="shared" si="0"/>
        <v/>
      </c>
      <c r="F14" s="115">
        <f>SUMIFS(Tabel2[Afnameklanten (∑)],Tabel2[Tariefcomponent],$A14,Tabel2[Kostenindeling 1],"Endogeen")</f>
        <v>0</v>
      </c>
      <c r="G14" s="116" t="str">
        <f t="shared" si="1"/>
        <v/>
      </c>
      <c r="H14" s="115">
        <f>SUMIFS(Tabel2[Injectieklanten (∑)],Tabel2[Tariefcomponent],$A14,Tabel2[Kostenindeling 1],"Exogeen")</f>
        <v>0</v>
      </c>
      <c r="I14" s="116" t="str">
        <f t="shared" si="2"/>
        <v/>
      </c>
      <c r="J14" s="115">
        <f>SUMIFS(Tabel2[Injectieklanten (∑)],Tabel2[Tariefcomponent],$A14,Tabel2[Kostenindeling 1],"Endogeen")</f>
        <v>0</v>
      </c>
      <c r="K14" s="116" t="str">
        <f t="shared" si="3"/>
        <v/>
      </c>
      <c r="L14" s="117">
        <f>SUMIFS(Tabel2[Totale budget],Tabel2[Tariefcomponent],$A14)</f>
        <v>0</v>
      </c>
      <c r="M14" s="103"/>
      <c r="N14" s="103"/>
    </row>
    <row r="15" spans="1:32" s="2" customFormat="1" ht="20.25" customHeight="1" thickBot="1">
      <c r="A15" s="118" t="s">
        <v>86</v>
      </c>
      <c r="B15" s="119"/>
      <c r="C15" s="119"/>
      <c r="D15" s="120">
        <f>SUMIFS(Tabel2[Afnameklanten (∑)],Tabel2[Tariefcomponent],$A15,Tabel2[Kostenindeling 1],"Exogeen")</f>
        <v>0</v>
      </c>
      <c r="E15" s="121" t="str">
        <f t="shared" si="0"/>
        <v/>
      </c>
      <c r="F15" s="120">
        <f>SUMIFS(Tabel2[Afnameklanten (∑)],Tabel2[Tariefcomponent],$A15,Tabel2[Kostenindeling 1],"Endogeen")</f>
        <v>0</v>
      </c>
      <c r="G15" s="121" t="str">
        <f t="shared" si="1"/>
        <v/>
      </c>
      <c r="H15" s="120">
        <f>SUMIFS(Tabel2[Injectieklanten (∑)],Tabel2[Tariefcomponent],$A15,Tabel2[Kostenindeling 1],"Exogeen")</f>
        <v>0</v>
      </c>
      <c r="I15" s="121" t="str">
        <f t="shared" si="2"/>
        <v/>
      </c>
      <c r="J15" s="120">
        <f>SUMIFS(Tabel2[Injectieklanten (∑)],Tabel2[Tariefcomponent],$A15,Tabel2[Kostenindeling 1],"Endogeen")</f>
        <v>0</v>
      </c>
      <c r="K15" s="121" t="str">
        <f t="shared" si="3"/>
        <v/>
      </c>
      <c r="L15" s="122">
        <f>SUMIFS(Tabel2[Totale budget],Tabel2[Tariefcomponent],$A15)</f>
        <v>0</v>
      </c>
      <c r="M15" s="103"/>
      <c r="N15" s="103"/>
    </row>
    <row r="16" spans="1:32" s="2" customFormat="1" ht="20.25" customHeight="1" thickBot="1">
      <c r="A16" s="123" t="s">
        <v>11</v>
      </c>
      <c r="B16" s="124"/>
      <c r="C16" s="124"/>
      <c r="D16" s="125">
        <f>SUM(D$10:D$15)</f>
        <v>0</v>
      </c>
      <c r="E16" s="126" t="str">
        <f t="shared" si="0"/>
        <v/>
      </c>
      <c r="F16" s="125" t="e">
        <f>SUM(F$10:F$15)</f>
        <v>#VALUE!</v>
      </c>
      <c r="G16" s="126" t="str">
        <f t="shared" si="1"/>
        <v/>
      </c>
      <c r="H16" s="125">
        <f>SUM(H$10:H$15)</f>
        <v>0</v>
      </c>
      <c r="I16" s="126" t="str">
        <f t="shared" si="2"/>
        <v/>
      </c>
      <c r="J16" s="125" t="e">
        <f>SUM(J$10:J$15)</f>
        <v>#VALUE!</v>
      </c>
      <c r="K16" s="126" t="str">
        <f t="shared" si="3"/>
        <v/>
      </c>
      <c r="L16" s="127">
        <f>SUM(L$10:L$15)</f>
        <v>0</v>
      </c>
      <c r="M16" s="103"/>
      <c r="N16" s="103"/>
    </row>
    <row r="17" spans="1:10" s="2" customFormat="1" ht="15" customHeight="1">
      <c r="A17" s="103"/>
      <c r="B17" s="103"/>
      <c r="C17" s="103"/>
      <c r="D17" s="103"/>
      <c r="E17" s="103"/>
      <c r="F17" s="103"/>
      <c r="G17" s="103"/>
      <c r="H17" s="103"/>
      <c r="I17" s="103"/>
      <c r="J17" s="103"/>
    </row>
    <row r="18" spans="1:10" s="2" customFormat="1" ht="15" customHeight="1">
      <c r="A18" s="103"/>
      <c r="B18" s="103"/>
      <c r="C18" s="103"/>
      <c r="D18" s="103"/>
      <c r="E18" s="103"/>
      <c r="F18" s="103"/>
      <c r="G18" s="103"/>
      <c r="H18" s="309"/>
      <c r="I18" s="103"/>
      <c r="J18" s="103"/>
    </row>
    <row r="19" spans="1:10" s="2" customFormat="1" ht="15" customHeight="1">
      <c r="A19" s="7"/>
      <c r="B19" s="7"/>
      <c r="C19" s="7"/>
      <c r="D19" s="7"/>
      <c r="E19" s="7"/>
      <c r="F19" s="7"/>
      <c r="G19" s="7"/>
      <c r="H19" s="7"/>
      <c r="I19" s="7"/>
      <c r="J19" s="7"/>
    </row>
    <row r="20" spans="1:10" s="5" customFormat="1" ht="15" customHeight="1">
      <c r="A20" s="7"/>
      <c r="B20" s="7"/>
      <c r="C20" s="7"/>
      <c r="D20" s="7"/>
      <c r="E20" s="7"/>
      <c r="F20" s="7"/>
      <c r="G20" s="7"/>
      <c r="H20" s="7"/>
      <c r="I20" s="7"/>
      <c r="J20" s="7"/>
    </row>
    <row r="21" spans="1:10" s="2" customFormat="1" ht="15" customHeight="1">
      <c r="A21" s="7"/>
      <c r="B21" s="7"/>
      <c r="C21" s="7"/>
      <c r="D21" s="7"/>
      <c r="E21" s="7"/>
      <c r="F21" s="7"/>
      <c r="G21" s="7"/>
      <c r="H21" s="7"/>
      <c r="J21" s="7"/>
    </row>
    <row r="22" spans="1:10" s="2" customFormat="1" ht="15" customHeight="1">
      <c r="A22" s="7"/>
      <c r="B22" s="7"/>
      <c r="C22" s="7"/>
      <c r="D22" s="7"/>
      <c r="E22" s="7"/>
      <c r="F22" s="7"/>
      <c r="G22" s="7"/>
      <c r="H22" s="7"/>
      <c r="I22" s="7"/>
      <c r="J22" s="7"/>
    </row>
    <row r="23" spans="1:10" s="2" customFormat="1" ht="15" customHeight="1">
      <c r="A23" s="7"/>
      <c r="B23" s="7"/>
      <c r="C23" s="7"/>
      <c r="D23" s="7"/>
      <c r="E23" s="7"/>
      <c r="F23" s="7"/>
      <c r="G23" s="7"/>
      <c r="H23" s="7"/>
      <c r="I23" s="7"/>
      <c r="J23" s="7"/>
    </row>
    <row r="24" spans="1:10" s="2" customFormat="1" ht="15" customHeight="1">
      <c r="A24" s="7"/>
      <c r="B24" s="7"/>
      <c r="C24" s="7"/>
      <c r="D24" s="7"/>
      <c r="E24" s="7"/>
      <c r="F24" s="7"/>
      <c r="G24" s="7"/>
      <c r="H24" s="7"/>
      <c r="I24" s="7"/>
      <c r="J24" s="7"/>
    </row>
    <row r="25" spans="1:10" s="2" customFormat="1" ht="15" customHeight="1">
      <c r="A25" s="7"/>
      <c r="B25" s="7"/>
      <c r="C25" s="7"/>
      <c r="D25" s="7"/>
      <c r="E25" s="7"/>
      <c r="F25" s="7"/>
      <c r="G25" s="7"/>
      <c r="H25" s="7"/>
      <c r="I25" s="7"/>
      <c r="J25" s="7"/>
    </row>
    <row r="26" spans="1:10" s="2" customFormat="1" ht="15" customHeight="1">
      <c r="A26" s="7"/>
      <c r="B26" s="7"/>
      <c r="C26" s="7"/>
      <c r="D26" s="7"/>
      <c r="E26" s="7"/>
      <c r="F26" s="7"/>
      <c r="G26" s="7"/>
      <c r="H26" s="7"/>
      <c r="I26" s="7"/>
      <c r="J26" s="7"/>
    </row>
    <row r="27" spans="1:10" s="2" customFormat="1" ht="15" customHeight="1">
      <c r="A27" s="7"/>
      <c r="B27" s="7"/>
      <c r="C27" s="7"/>
      <c r="D27" s="7"/>
      <c r="E27" s="7"/>
      <c r="F27" s="7"/>
      <c r="G27" s="7"/>
      <c r="H27" s="7"/>
      <c r="I27" s="7"/>
      <c r="J27" s="7"/>
    </row>
    <row r="28" spans="1:10" s="2" customFormat="1" ht="15" customHeight="1">
      <c r="A28" s="7"/>
      <c r="B28" s="7"/>
      <c r="C28" s="7"/>
      <c r="D28" s="7"/>
      <c r="E28" s="7"/>
      <c r="F28" s="7"/>
      <c r="G28" s="7"/>
      <c r="H28" s="7"/>
      <c r="I28" s="7"/>
      <c r="J28" s="7"/>
    </row>
    <row r="29" spans="1:10" s="2" customFormat="1" ht="15" customHeight="1">
      <c r="A29" s="7"/>
      <c r="B29" s="7"/>
      <c r="C29" s="7"/>
    </row>
    <row r="30" spans="1:10" s="2" customFormat="1" ht="15" customHeight="1">
      <c r="A30"/>
      <c r="B30"/>
      <c r="C30"/>
      <c r="D30"/>
      <c r="E30"/>
      <c r="F30"/>
      <c r="G30"/>
      <c r="H30" s="44"/>
      <c r="I30" s="44"/>
    </row>
    <row r="31" spans="1:10" s="5" customFormat="1" ht="15" customHeight="1">
      <c r="A31"/>
      <c r="B31"/>
      <c r="C31"/>
      <c r="D31"/>
      <c r="E31"/>
      <c r="F31"/>
      <c r="G31"/>
      <c r="H31" s="46"/>
      <c r="I31" s="46"/>
    </row>
    <row r="32" spans="1:10" s="2" customFormat="1" ht="15" customHeight="1">
      <c r="A32"/>
      <c r="B32"/>
      <c r="C32"/>
      <c r="D32"/>
      <c r="E32"/>
      <c r="F32"/>
      <c r="G32"/>
      <c r="H32" s="46"/>
      <c r="I32" s="46"/>
    </row>
    <row r="33" spans="1:9" s="2" customFormat="1" ht="15" customHeight="1">
      <c r="A33"/>
      <c r="B33"/>
      <c r="C33"/>
      <c r="D33"/>
      <c r="E33"/>
      <c r="F33"/>
      <c r="G33"/>
      <c r="H33" s="47"/>
      <c r="I33" s="47"/>
    </row>
    <row r="34" spans="1:9" s="2" customFormat="1" ht="15" customHeight="1">
      <c r="A34"/>
      <c r="B34"/>
      <c r="C34"/>
      <c r="D34"/>
      <c r="E34"/>
      <c r="F34"/>
      <c r="G34"/>
      <c r="H34" s="48"/>
      <c r="I34" s="48"/>
    </row>
    <row r="35" spans="1:9" s="2" customFormat="1" ht="15" customHeight="1">
      <c r="A35"/>
      <c r="B35"/>
      <c r="C35"/>
      <c r="D35"/>
      <c r="E35"/>
      <c r="F35"/>
      <c r="G35"/>
    </row>
    <row r="36" spans="1:9" s="2" customFormat="1" ht="15" customHeight="1">
      <c r="A36"/>
      <c r="B36"/>
      <c r="C36"/>
      <c r="D36"/>
      <c r="E36"/>
      <c r="F36"/>
      <c r="G36"/>
    </row>
    <row r="37" spans="1:9" s="2" customFormat="1" ht="15" customHeight="1">
      <c r="A37"/>
      <c r="B37"/>
      <c r="C37"/>
      <c r="D37"/>
      <c r="E37"/>
      <c r="F37"/>
      <c r="G37"/>
    </row>
    <row r="38" spans="1:9" s="2" customFormat="1" ht="15" customHeight="1">
      <c r="A38"/>
      <c r="B38"/>
      <c r="C38"/>
      <c r="D38"/>
      <c r="E38"/>
      <c r="F38"/>
      <c r="G38"/>
    </row>
    <row r="39" spans="1:9" s="2" customFormat="1" ht="15" customHeight="1">
      <c r="A39"/>
      <c r="B39"/>
      <c r="C39"/>
      <c r="D39"/>
      <c r="E39"/>
      <c r="F39"/>
      <c r="G39"/>
    </row>
    <row r="40" spans="1:9" s="2" customFormat="1" ht="15" customHeight="1">
      <c r="A40"/>
      <c r="B40"/>
      <c r="C40"/>
      <c r="D40"/>
      <c r="E40"/>
      <c r="F40"/>
      <c r="G40"/>
    </row>
    <row r="41" spans="1:9" s="2" customFormat="1" ht="15" customHeight="1">
      <c r="A41"/>
      <c r="B41"/>
      <c r="C41"/>
      <c r="D41"/>
      <c r="E41"/>
      <c r="F41"/>
      <c r="G41"/>
    </row>
    <row r="42" spans="1:9" s="2" customFormat="1" ht="15" customHeight="1">
      <c r="A42"/>
      <c r="B42"/>
      <c r="C42"/>
      <c r="D42"/>
      <c r="E42"/>
      <c r="F42"/>
      <c r="G42"/>
    </row>
    <row r="43" spans="1:9" s="2" customFormat="1" ht="15" customHeight="1">
      <c r="A43"/>
      <c r="B43"/>
      <c r="C43"/>
      <c r="D43"/>
      <c r="E43"/>
      <c r="F43"/>
      <c r="G43"/>
    </row>
    <row r="44" spans="1:9" s="49" customFormat="1" ht="15" customHeight="1">
      <c r="A44"/>
      <c r="B44"/>
      <c r="C44"/>
      <c r="D44"/>
      <c r="E44"/>
      <c r="F44"/>
      <c r="G44"/>
      <c r="H44" s="2"/>
      <c r="I44" s="2"/>
    </row>
    <row r="45" spans="1:9" s="49" customFormat="1" ht="15" customHeight="1">
      <c r="A45"/>
      <c r="B45"/>
      <c r="C45"/>
      <c r="D45"/>
      <c r="E45"/>
      <c r="F45"/>
      <c r="G45"/>
      <c r="H45" s="5"/>
      <c r="I45" s="5"/>
    </row>
    <row r="46" spans="1:9" s="2" customFormat="1" ht="15" customHeight="1">
      <c r="A46"/>
      <c r="B46"/>
      <c r="C46"/>
      <c r="D46"/>
      <c r="E46"/>
      <c r="F46"/>
      <c r="G46"/>
    </row>
    <row r="47" spans="1:9" s="2" customFormat="1" ht="15" customHeight="1"/>
    <row r="48" spans="1:9" s="2" customFormat="1" ht="15" customHeight="1">
      <c r="B48" s="5"/>
      <c r="C48" s="5"/>
      <c r="D48" s="5"/>
    </row>
    <row r="49" spans="1:10" s="2" customFormat="1" ht="15" customHeight="1"/>
    <row r="50" spans="1:10" s="2" customFormat="1" ht="15" customHeight="1"/>
    <row r="51" spans="1:10" s="2" customFormat="1" ht="15" customHeight="1">
      <c r="J51" s="7"/>
    </row>
    <row r="52" spans="1:10" s="2" customFormat="1" ht="15" customHeight="1">
      <c r="A52" s="7"/>
      <c r="B52" s="7"/>
      <c r="C52" s="7"/>
      <c r="D52" s="7"/>
      <c r="E52" s="7"/>
      <c r="F52" s="7"/>
      <c r="G52" s="7"/>
      <c r="H52" s="7"/>
      <c r="I52" s="7"/>
      <c r="J52" s="7"/>
    </row>
    <row r="53" spans="1:10" s="2" customFormat="1" ht="15" customHeight="1">
      <c r="A53" s="7"/>
      <c r="B53" s="7"/>
      <c r="C53" s="7"/>
      <c r="D53" s="7"/>
      <c r="E53" s="7"/>
      <c r="F53" s="7"/>
      <c r="G53" s="7"/>
      <c r="H53" s="7"/>
      <c r="I53" s="7"/>
      <c r="J53" s="7"/>
    </row>
    <row r="54" spans="1:10" s="2" customFormat="1" ht="15" customHeight="1">
      <c r="A54" s="7"/>
      <c r="B54" s="7"/>
      <c r="C54" s="7"/>
      <c r="D54" s="7"/>
      <c r="E54" s="7"/>
      <c r="F54" s="7"/>
      <c r="G54" s="7"/>
      <c r="H54" s="7"/>
      <c r="I54" s="7"/>
      <c r="J54" s="7"/>
    </row>
    <row r="55" spans="1:10" s="2" customFormat="1" ht="15" customHeight="1">
      <c r="A55" s="7"/>
      <c r="B55" s="7"/>
      <c r="C55" s="7"/>
      <c r="D55" s="7"/>
      <c r="E55" s="7"/>
      <c r="F55" s="7"/>
      <c r="G55" s="7"/>
      <c r="H55" s="7"/>
      <c r="I55" s="7"/>
      <c r="J55" s="7"/>
    </row>
    <row r="56" spans="1:10" s="2" customFormat="1" ht="15" customHeight="1">
      <c r="A56" s="7"/>
      <c r="B56" s="7"/>
      <c r="C56" s="7"/>
      <c r="D56" s="7"/>
      <c r="E56" s="7"/>
      <c r="F56" s="7"/>
      <c r="G56" s="7"/>
      <c r="H56" s="7"/>
      <c r="I56" s="7"/>
      <c r="J56" s="7"/>
    </row>
    <row r="57" spans="1:10" s="2" customFormat="1" ht="15" customHeight="1">
      <c r="A57" s="7"/>
      <c r="B57" s="7"/>
      <c r="C57" s="7"/>
      <c r="D57" s="7"/>
      <c r="E57" s="7"/>
      <c r="F57" s="7"/>
      <c r="G57" s="7"/>
      <c r="H57" s="7"/>
      <c r="I57" s="7"/>
      <c r="J57" s="7"/>
    </row>
    <row r="58" spans="1:10" s="2" customFormat="1" ht="15" customHeight="1">
      <c r="A58" s="7"/>
      <c r="B58" s="7"/>
      <c r="C58" s="7"/>
      <c r="D58" s="7"/>
      <c r="E58" s="7"/>
      <c r="F58" s="7"/>
      <c r="G58" s="7"/>
      <c r="H58" s="7"/>
      <c r="I58" s="7"/>
      <c r="J58" s="7"/>
    </row>
    <row r="59" spans="1:10" s="2" customFormat="1" ht="15" customHeight="1">
      <c r="A59" s="7"/>
      <c r="B59" s="7"/>
      <c r="C59" s="7"/>
      <c r="D59" s="7"/>
      <c r="E59" s="7"/>
      <c r="F59" s="7"/>
      <c r="G59" s="7"/>
      <c r="H59" s="7"/>
      <c r="I59" s="7"/>
      <c r="J59" s="7"/>
    </row>
    <row r="60" spans="1:10" s="2" customFormat="1" ht="15" customHeight="1">
      <c r="A60" s="7"/>
      <c r="B60" s="7"/>
      <c r="C60" s="7"/>
      <c r="D60" s="7"/>
      <c r="E60" s="7"/>
      <c r="F60" s="7"/>
      <c r="G60" s="7"/>
      <c r="H60" s="7"/>
      <c r="I60" s="7"/>
      <c r="J60" s="7"/>
    </row>
    <row r="61" spans="1:10" s="2" customFormat="1" ht="15" customHeight="1">
      <c r="A61" s="7"/>
      <c r="B61" s="7"/>
      <c r="C61" s="7"/>
      <c r="D61" s="7"/>
      <c r="E61" s="7"/>
      <c r="F61" s="7"/>
      <c r="G61" s="7"/>
      <c r="H61" s="7"/>
      <c r="I61" s="7"/>
      <c r="J61" s="7"/>
    </row>
    <row r="62" spans="1:10" s="2" customFormat="1" ht="15" customHeight="1">
      <c r="A62" s="7"/>
      <c r="B62" s="7"/>
      <c r="C62" s="7"/>
      <c r="D62" s="7"/>
      <c r="E62" s="7"/>
      <c r="F62" s="7"/>
      <c r="G62" s="7"/>
      <c r="H62" s="7"/>
      <c r="I62" s="7"/>
      <c r="J62" s="7"/>
    </row>
    <row r="63" spans="1:10" s="2" customFormat="1" ht="15" customHeight="1">
      <c r="A63" s="7"/>
      <c r="B63" s="7"/>
      <c r="C63" s="7"/>
      <c r="D63" s="7"/>
      <c r="E63" s="7"/>
      <c r="F63" s="7"/>
      <c r="G63" s="7"/>
      <c r="H63" s="7"/>
      <c r="I63" s="7"/>
      <c r="J63" s="7"/>
    </row>
    <row r="64" spans="1:10" s="2" customFormat="1" ht="15" customHeight="1">
      <c r="A64" s="7"/>
      <c r="B64" s="7"/>
      <c r="C64" s="7"/>
      <c r="D64" s="7"/>
      <c r="E64" s="7"/>
      <c r="F64" s="7"/>
      <c r="G64" s="7"/>
      <c r="H64" s="7"/>
      <c r="I64" s="7"/>
      <c r="J64" s="7"/>
    </row>
    <row r="65" spans="1:16" s="2" customFormat="1" ht="15" customHeight="1">
      <c r="A65" s="7"/>
      <c r="B65" s="7"/>
      <c r="C65" s="7"/>
      <c r="D65" s="7"/>
      <c r="E65" s="7"/>
      <c r="F65" s="7"/>
      <c r="G65" s="7"/>
      <c r="H65" s="7"/>
      <c r="I65" s="7"/>
      <c r="J65" s="7"/>
    </row>
    <row r="66" spans="1:16" s="2" customFormat="1" ht="15" customHeight="1">
      <c r="A66" s="7"/>
      <c r="B66" s="7"/>
      <c r="C66" s="7"/>
      <c r="D66" s="7"/>
      <c r="E66" s="7"/>
      <c r="F66" s="7"/>
      <c r="G66" s="7"/>
      <c r="H66" s="7"/>
      <c r="I66" s="7"/>
      <c r="J66" s="7"/>
    </row>
    <row r="67" spans="1:16" s="2" customFormat="1" ht="15" customHeight="1">
      <c r="A67" s="7"/>
      <c r="B67" s="7"/>
      <c r="C67" s="7"/>
      <c r="D67" s="7"/>
      <c r="E67" s="7"/>
      <c r="F67" s="7"/>
      <c r="G67" s="7"/>
      <c r="H67" s="7"/>
      <c r="I67" s="7"/>
      <c r="J67" s="7"/>
    </row>
    <row r="68" spans="1:16" s="2" customFormat="1" ht="15" customHeight="1">
      <c r="A68" s="7"/>
      <c r="B68" s="7"/>
      <c r="C68" s="7"/>
      <c r="D68" s="7"/>
      <c r="E68" s="7"/>
      <c r="F68" s="7"/>
      <c r="G68" s="7"/>
      <c r="H68" s="7"/>
      <c r="I68" s="7"/>
      <c r="J68" s="7"/>
    </row>
    <row r="69" spans="1:16" s="2" customFormat="1" ht="15" customHeight="1">
      <c r="A69" s="7"/>
      <c r="B69" s="7"/>
      <c r="C69" s="7"/>
      <c r="D69" s="7"/>
      <c r="E69" s="7"/>
      <c r="F69" s="7"/>
      <c r="G69" s="7"/>
      <c r="H69" s="7"/>
      <c r="I69" s="7"/>
      <c r="J69" s="7"/>
    </row>
    <row r="70" spans="1:16" s="2" customFormat="1" ht="15" customHeight="1">
      <c r="A70" s="7"/>
      <c r="B70" s="7"/>
      <c r="C70" s="7"/>
      <c r="D70" s="7"/>
      <c r="E70" s="7"/>
      <c r="F70" s="7"/>
      <c r="G70" s="7"/>
      <c r="H70" s="7"/>
      <c r="I70" s="7"/>
      <c r="J70" s="7"/>
    </row>
    <row r="71" spans="1:16" s="2" customFormat="1" ht="15" customHeight="1">
      <c r="A71" s="7"/>
      <c r="B71" s="7"/>
      <c r="C71" s="7"/>
      <c r="D71" s="7"/>
      <c r="E71" s="7"/>
      <c r="F71" s="7"/>
      <c r="G71" s="7"/>
      <c r="H71" s="7"/>
      <c r="I71" s="7"/>
      <c r="J71" s="7"/>
    </row>
    <row r="72" spans="1:16" s="2" customFormat="1" ht="15" customHeight="1">
      <c r="A72" s="7"/>
      <c r="B72" s="7"/>
      <c r="C72" s="7"/>
      <c r="D72" s="7"/>
      <c r="E72" s="7"/>
      <c r="F72" s="7"/>
      <c r="G72" s="7"/>
      <c r="H72" s="7"/>
      <c r="I72" s="7"/>
      <c r="J72" s="7"/>
      <c r="L72" s="5"/>
      <c r="M72" s="5"/>
      <c r="N72" s="5"/>
    </row>
    <row r="73" spans="1:16" s="2" customFormat="1" ht="15" customHeight="1">
      <c r="A73" s="7"/>
      <c r="B73" s="7"/>
      <c r="C73" s="7"/>
      <c r="D73" s="7"/>
      <c r="E73" s="7"/>
      <c r="F73" s="7"/>
      <c r="G73" s="7"/>
      <c r="H73" s="7"/>
      <c r="I73" s="7"/>
      <c r="J73" s="7"/>
      <c r="L73" s="5"/>
      <c r="M73" s="5"/>
      <c r="N73" s="5"/>
    </row>
    <row r="74" spans="1:16" s="2" customFormat="1" ht="15" customHeight="1">
      <c r="A74" s="7"/>
      <c r="B74" s="7"/>
      <c r="C74" s="7"/>
      <c r="D74" s="7"/>
      <c r="E74" s="7"/>
      <c r="F74" s="7"/>
      <c r="G74" s="7"/>
      <c r="H74" s="7"/>
      <c r="I74" s="7"/>
      <c r="J74" s="7"/>
      <c r="L74" s="5"/>
      <c r="M74" s="5"/>
      <c r="N74" s="5"/>
    </row>
    <row r="75" spans="1:16" s="2" customFormat="1" ht="15" customHeight="1">
      <c r="A75" s="7"/>
      <c r="B75" s="7"/>
      <c r="C75" s="7"/>
      <c r="D75" s="7"/>
      <c r="E75" s="7"/>
      <c r="F75" s="7"/>
      <c r="G75" s="7"/>
      <c r="H75" s="7"/>
      <c r="I75" s="7"/>
      <c r="J75" s="7"/>
      <c r="L75" s="5"/>
      <c r="M75" s="5"/>
      <c r="N75" s="5"/>
    </row>
    <row r="76" spans="1:16" s="2" customFormat="1" ht="15" customHeight="1">
      <c r="A76" s="7"/>
      <c r="B76" s="7"/>
      <c r="C76" s="7"/>
      <c r="D76" s="7"/>
      <c r="E76" s="7"/>
      <c r="F76" s="7"/>
      <c r="G76" s="7"/>
      <c r="H76" s="7"/>
      <c r="I76" s="7"/>
      <c r="J76" s="7"/>
      <c r="L76" s="5"/>
      <c r="M76" s="5"/>
      <c r="N76" s="5"/>
    </row>
    <row r="77" spans="1:16" s="2" customFormat="1" ht="15" customHeight="1">
      <c r="A77" s="7"/>
      <c r="B77" s="7"/>
      <c r="C77" s="7"/>
      <c r="D77" s="7"/>
      <c r="E77" s="7"/>
      <c r="F77" s="7"/>
      <c r="G77" s="7"/>
      <c r="H77" s="7"/>
      <c r="I77" s="7"/>
      <c r="J77" s="7"/>
      <c r="L77" s="5"/>
      <c r="M77" s="5"/>
      <c r="N77" s="5"/>
    </row>
    <row r="78" spans="1:16" s="2" customFormat="1" ht="15" customHeight="1">
      <c r="A78" s="7"/>
      <c r="B78" s="7"/>
      <c r="C78" s="7"/>
      <c r="D78" s="7"/>
      <c r="E78" s="7"/>
      <c r="F78" s="7"/>
      <c r="G78" s="7"/>
      <c r="H78" s="7"/>
      <c r="I78" s="7"/>
      <c r="J78" s="7"/>
      <c r="L78" s="48"/>
      <c r="M78" s="48"/>
      <c r="N78" s="48"/>
    </row>
    <row r="79" spans="1:16" s="2" customFormat="1" ht="15" customHeight="1">
      <c r="A79" s="7"/>
      <c r="B79" s="7"/>
      <c r="C79" s="7"/>
      <c r="D79" s="7"/>
      <c r="E79" s="7"/>
      <c r="F79" s="7"/>
      <c r="G79" s="7"/>
      <c r="H79" s="7"/>
      <c r="I79" s="7"/>
      <c r="J79" s="7"/>
      <c r="L79" s="50"/>
      <c r="M79" s="50"/>
      <c r="N79" s="50"/>
    </row>
    <row r="80" spans="1:16" s="5" customFormat="1" ht="15" customHeight="1">
      <c r="A80" s="7"/>
      <c r="B80" s="7"/>
      <c r="C80" s="7"/>
      <c r="D80" s="7"/>
      <c r="E80" s="7"/>
      <c r="F80" s="7"/>
      <c r="G80" s="7"/>
      <c r="H80" s="7"/>
      <c r="I80" s="7"/>
      <c r="J80" s="7"/>
      <c r="L80" s="50"/>
      <c r="M80" s="50"/>
      <c r="N80" s="50"/>
      <c r="O80" s="2"/>
      <c r="P80" s="2"/>
    </row>
    <row r="81" spans="1:16" s="5" customFormat="1" ht="15" customHeight="1">
      <c r="A81" s="7"/>
      <c r="B81" s="7"/>
      <c r="C81" s="7"/>
      <c r="D81" s="7"/>
      <c r="E81" s="7"/>
      <c r="F81" s="7"/>
      <c r="G81" s="7"/>
      <c r="H81" s="7"/>
      <c r="I81" s="7"/>
      <c r="J81" s="7"/>
      <c r="L81" s="50"/>
      <c r="M81" s="50"/>
      <c r="N81" s="50"/>
    </row>
    <row r="82" spans="1:16" s="5" customFormat="1" ht="15" customHeight="1">
      <c r="A82" s="7"/>
      <c r="B82" s="7"/>
      <c r="C82" s="7"/>
      <c r="D82" s="7"/>
      <c r="E82" s="7"/>
      <c r="F82" s="7"/>
      <c r="G82" s="7"/>
      <c r="H82" s="7"/>
      <c r="I82" s="7"/>
      <c r="J82" s="7"/>
      <c r="L82" s="46"/>
      <c r="M82" s="46"/>
      <c r="N82" s="46"/>
    </row>
    <row r="83" spans="1:16" s="5" customFormat="1" ht="15" customHeight="1">
      <c r="A83" s="7"/>
      <c r="B83" s="7"/>
      <c r="C83" s="7"/>
      <c r="D83" s="7"/>
      <c r="E83" s="7"/>
      <c r="F83" s="7"/>
      <c r="G83" s="7"/>
      <c r="H83" s="7"/>
      <c r="I83" s="7"/>
      <c r="J83" s="7"/>
      <c r="L83" s="46"/>
      <c r="M83" s="46"/>
      <c r="N83" s="46"/>
    </row>
    <row r="84" spans="1:16" s="5" customFormat="1" ht="15" customHeight="1">
      <c r="A84" s="7"/>
      <c r="B84" s="7"/>
      <c r="C84" s="7"/>
      <c r="D84" s="7"/>
      <c r="E84" s="7"/>
      <c r="F84" s="7"/>
      <c r="G84" s="7"/>
      <c r="H84" s="7"/>
      <c r="I84" s="7"/>
      <c r="J84" s="7"/>
      <c r="L84" s="46"/>
      <c r="M84" s="46"/>
      <c r="N84" s="46"/>
    </row>
    <row r="85" spans="1:16" s="5" customFormat="1" ht="15" customHeight="1">
      <c r="A85" s="7"/>
      <c r="B85" s="7"/>
      <c r="C85" s="7"/>
      <c r="D85" s="7"/>
      <c r="E85" s="7"/>
      <c r="F85" s="7"/>
      <c r="G85" s="7"/>
      <c r="H85" s="7"/>
      <c r="I85" s="7"/>
      <c r="J85" s="7"/>
      <c r="L85" s="46"/>
      <c r="M85" s="46"/>
      <c r="N85" s="46"/>
    </row>
    <row r="86" spans="1:16" s="48" customFormat="1" ht="15" customHeight="1">
      <c r="A86" s="7"/>
      <c r="B86" s="7"/>
      <c r="C86" s="7"/>
      <c r="D86" s="7"/>
      <c r="E86" s="7"/>
      <c r="F86" s="7"/>
      <c r="G86" s="7"/>
      <c r="H86" s="7"/>
      <c r="I86" s="7"/>
      <c r="J86" s="7"/>
      <c r="L86" s="46"/>
      <c r="M86" s="46"/>
      <c r="N86" s="46"/>
      <c r="O86" s="5"/>
      <c r="P86" s="5"/>
    </row>
    <row r="87" spans="1:16" s="50" customFormat="1" ht="15" customHeight="1">
      <c r="A87" s="7"/>
      <c r="B87" s="7"/>
      <c r="C87" s="7"/>
      <c r="D87" s="7"/>
      <c r="E87" s="7"/>
      <c r="F87" s="7"/>
      <c r="G87" s="7"/>
      <c r="H87" s="7"/>
      <c r="I87" s="7"/>
      <c r="J87" s="7"/>
      <c r="L87" s="46"/>
      <c r="M87" s="46"/>
      <c r="N87" s="46"/>
      <c r="O87" s="48"/>
      <c r="P87" s="48"/>
    </row>
    <row r="88" spans="1:16" s="50" customFormat="1" ht="15" customHeight="1">
      <c r="A88" s="7"/>
      <c r="B88" s="7"/>
      <c r="C88" s="7"/>
      <c r="D88" s="7"/>
      <c r="E88" s="7"/>
      <c r="F88" s="7"/>
      <c r="G88" s="7"/>
      <c r="H88" s="7"/>
      <c r="I88" s="7"/>
      <c r="J88" s="7"/>
      <c r="L88" s="46"/>
      <c r="M88" s="46"/>
      <c r="N88" s="46"/>
    </row>
    <row r="89" spans="1:16" s="50" customFormat="1" ht="15" customHeight="1">
      <c r="A89" s="7"/>
      <c r="B89" s="7"/>
      <c r="C89" s="7"/>
      <c r="D89" s="7"/>
      <c r="E89" s="7"/>
      <c r="F89" s="7"/>
      <c r="G89" s="7"/>
      <c r="H89" s="7"/>
      <c r="I89" s="7"/>
      <c r="J89" s="7"/>
      <c r="L89" s="46"/>
      <c r="M89" s="46"/>
      <c r="N89" s="46"/>
    </row>
    <row r="90" spans="1:16" ht="15" customHeight="1">
      <c r="A90" s="7"/>
      <c r="B90" s="7"/>
      <c r="C90" s="7"/>
      <c r="D90" s="7"/>
      <c r="E90" s="7"/>
      <c r="F90" s="7"/>
      <c r="G90" s="7"/>
      <c r="H90" s="7"/>
      <c r="I90" s="7"/>
      <c r="J90" s="7"/>
      <c r="O90" s="50"/>
      <c r="P90" s="50"/>
    </row>
    <row r="91" spans="1:16" ht="15" customHeight="1">
      <c r="B91" s="7"/>
      <c r="C91" s="7"/>
      <c r="D91" s="7"/>
      <c r="E91" s="7"/>
      <c r="F91" s="7"/>
      <c r="G91" s="7"/>
      <c r="H91" s="7"/>
      <c r="I91" s="7"/>
      <c r="J91" s="7"/>
    </row>
    <row r="92" spans="1:16" ht="15" customHeight="1">
      <c r="B92" s="7"/>
      <c r="C92" s="7"/>
      <c r="D92" s="7"/>
      <c r="E92" s="7"/>
      <c r="F92" s="7"/>
      <c r="G92" s="7"/>
      <c r="H92" s="7"/>
      <c r="I92" s="7"/>
      <c r="J92" s="7"/>
    </row>
    <row r="93" spans="1:16" ht="15" customHeight="1">
      <c r="B93" s="7"/>
      <c r="C93" s="7"/>
      <c r="D93" s="7"/>
      <c r="E93" s="7"/>
      <c r="F93" s="7"/>
      <c r="G93" s="7"/>
      <c r="H93" s="7"/>
      <c r="I93" s="7"/>
      <c r="J93" s="7"/>
    </row>
    <row r="94" spans="1:16" ht="15" customHeight="1">
      <c r="B94" s="7"/>
      <c r="C94" s="7"/>
      <c r="D94" s="7"/>
      <c r="E94" s="7"/>
      <c r="F94" s="7"/>
      <c r="G94" s="7"/>
      <c r="H94" s="7"/>
      <c r="I94" s="7"/>
      <c r="J94" s="7"/>
    </row>
  </sheetData>
  <sheetProtection algorithmName="SHA-512" hashValue="3B3CS7w8dDpRfpDAxgdyiiVmUmWesNhkdaIJczefizLbF2CfTdjQuLrZ9qQvXWO2avWCGVJAVOGRvrixzSX3Pg==" saltValue="5ljsu8mYjkgqKOkJvbwy3w==" spinCount="100000" sheet="1" objects="1" scenarios="1"/>
  <mergeCells count="9">
    <mergeCell ref="A7:C9"/>
    <mergeCell ref="A1:L1"/>
    <mergeCell ref="J8:K8"/>
    <mergeCell ref="H8:I8"/>
    <mergeCell ref="F8:G8"/>
    <mergeCell ref="D8:E8"/>
    <mergeCell ref="D7:G7"/>
    <mergeCell ref="H7:K7"/>
    <mergeCell ref="E4:G4"/>
  </mergeCells>
  <pageMargins left="0.55118110236220474" right="0.23622047244094491" top="0.43307086614173229" bottom="0.43307086614173229" header="0.27559055118110237" footer="0.27559055118110237"/>
  <pageSetup paperSize="8" scale="35" orientation="portrait" r:id="rId1"/>
  <headerFooter scaleWithDoc="0"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5"/>
  <dimension ref="A1:AG99"/>
  <sheetViews>
    <sheetView zoomScaleNormal="100" workbookViewId="0">
      <selection activeCell="E4" sqref="E4:F4"/>
    </sheetView>
  </sheetViews>
  <sheetFormatPr defaultColWidth="10.7265625" defaultRowHeight="14.5" outlineLevelCol="2"/>
  <cols>
    <col min="1" max="1" width="20.7265625" style="60" customWidth="1"/>
    <col min="2" max="2" width="30.7265625" style="60" customWidth="1"/>
    <col min="3" max="3" width="20.7265625" style="60" customWidth="1"/>
    <col min="4" max="4" width="30.7265625" style="60" customWidth="1"/>
    <col min="5" max="5" width="20.7265625" style="60" customWidth="1"/>
    <col min="6" max="6" width="30.7265625" style="591" customWidth="1"/>
    <col min="7" max="7" width="100.7265625" style="591" customWidth="1"/>
    <col min="8" max="10" width="30.7265625" style="60" customWidth="1"/>
    <col min="11" max="12" width="20.7265625" style="60" customWidth="1"/>
    <col min="13" max="16" width="20.7265625" style="60" customWidth="1" outlineLevel="1"/>
    <col min="17" max="18" width="20.7265625" style="60" customWidth="1" outlineLevel="2"/>
    <col min="19" max="20" width="20.7265625" style="60" customWidth="1"/>
    <col min="21" max="21" width="5.7265625" style="591" customWidth="1"/>
    <col min="22" max="33" width="10.7265625" style="591" customWidth="1"/>
    <col min="34" max="16384" width="10.7265625" style="60"/>
  </cols>
  <sheetData>
    <row r="1" spans="1:33" s="53" customFormat="1" ht="30" customHeight="1" thickBot="1">
      <c r="A1" s="1491" t="s">
        <v>169</v>
      </c>
      <c r="B1" s="1492"/>
      <c r="C1" s="1492"/>
      <c r="D1" s="1492"/>
      <c r="E1" s="1492"/>
      <c r="F1" s="1492"/>
      <c r="G1" s="1493"/>
      <c r="H1" s="1"/>
      <c r="I1" s="1"/>
      <c r="J1" s="1"/>
      <c r="K1" s="1"/>
      <c r="L1" s="1"/>
      <c r="M1" s="1"/>
      <c r="U1" s="67"/>
      <c r="V1" s="67"/>
      <c r="W1" s="67"/>
      <c r="X1" s="67"/>
      <c r="Y1" s="67"/>
      <c r="Z1" s="67"/>
      <c r="AA1" s="67"/>
      <c r="AB1" s="67"/>
      <c r="AC1" s="67"/>
      <c r="AD1" s="67"/>
      <c r="AE1" s="67"/>
      <c r="AF1" s="67"/>
      <c r="AG1" s="67"/>
    </row>
    <row r="2" spans="1:33" s="53" customFormat="1" ht="15" customHeight="1">
      <c r="A2" s="52"/>
      <c r="B2" s="52"/>
      <c r="C2" s="52"/>
      <c r="D2" s="52"/>
      <c r="E2" s="52"/>
      <c r="F2" s="63"/>
      <c r="G2" s="63"/>
      <c r="H2" s="52"/>
      <c r="I2" s="52"/>
      <c r="J2" s="52"/>
      <c r="K2" s="52"/>
      <c r="L2" s="52"/>
      <c r="M2" s="52"/>
      <c r="U2" s="67"/>
      <c r="V2" s="67"/>
      <c r="W2" s="67"/>
      <c r="X2" s="67"/>
      <c r="Y2" s="67"/>
      <c r="Z2" s="67"/>
      <c r="AA2" s="67"/>
      <c r="AB2" s="67"/>
      <c r="AC2" s="67"/>
      <c r="AD2" s="67"/>
      <c r="AE2" s="67"/>
      <c r="AF2" s="67"/>
      <c r="AG2" s="67"/>
    </row>
    <row r="3" spans="1:33" s="55" customFormat="1" ht="15" customHeight="1" thickBot="1">
      <c r="A3" s="54"/>
      <c r="B3" s="54"/>
      <c r="C3" s="54"/>
      <c r="D3" s="54"/>
      <c r="F3" s="64"/>
      <c r="G3" s="64"/>
      <c r="U3" s="64"/>
      <c r="V3" s="64"/>
      <c r="W3" s="64"/>
      <c r="X3" s="64"/>
      <c r="Y3" s="64"/>
      <c r="Z3" s="64"/>
      <c r="AA3" s="64"/>
      <c r="AB3" s="64"/>
      <c r="AC3" s="64"/>
      <c r="AD3" s="64"/>
      <c r="AE3" s="64"/>
      <c r="AF3" s="64"/>
      <c r="AG3" s="64"/>
    </row>
    <row r="4" spans="1:33" s="56" customFormat="1" ht="20.25" customHeight="1" thickBot="1">
      <c r="B4" s="57" t="s">
        <v>6</v>
      </c>
      <c r="C4" s="58"/>
      <c r="E4" s="1420" t="str">
        <f>DNB</f>
        <v>Naam distributienetbeheerder</v>
      </c>
      <c r="F4" s="1422"/>
      <c r="G4" s="66"/>
      <c r="H4" s="1565"/>
      <c r="I4" s="1565"/>
      <c r="J4" s="613"/>
      <c r="K4" s="59"/>
      <c r="L4" s="59"/>
      <c r="M4" s="59"/>
      <c r="P4" s="59"/>
      <c r="Q4" s="59"/>
      <c r="R4" s="59"/>
      <c r="S4" s="59"/>
      <c r="T4" s="59"/>
      <c r="U4" s="68"/>
      <c r="V4" s="69"/>
      <c r="W4" s="70"/>
      <c r="X4" s="70"/>
      <c r="Y4" s="70"/>
      <c r="Z4" s="70"/>
      <c r="AA4" s="70"/>
      <c r="AB4" s="70"/>
      <c r="AC4" s="70"/>
      <c r="AD4" s="70"/>
      <c r="AE4" s="70"/>
      <c r="AF4" s="70"/>
      <c r="AG4" s="70"/>
    </row>
    <row r="5" spans="1:33" s="61" customFormat="1" ht="15" customHeight="1">
      <c r="A5" s="60"/>
      <c r="B5" s="60"/>
      <c r="C5" s="60"/>
      <c r="D5" s="60"/>
      <c r="E5" s="60"/>
      <c r="F5" s="591"/>
      <c r="G5" s="591"/>
      <c r="H5" s="60"/>
      <c r="I5" s="60"/>
      <c r="J5" s="60"/>
      <c r="U5" s="71"/>
      <c r="V5" s="71"/>
      <c r="W5" s="71"/>
      <c r="X5" s="71"/>
      <c r="Y5" s="71"/>
      <c r="Z5" s="71"/>
      <c r="AA5" s="71"/>
      <c r="AB5" s="71"/>
      <c r="AC5" s="71"/>
      <c r="AD5" s="71"/>
      <c r="AE5" s="71"/>
      <c r="AF5" s="71"/>
      <c r="AG5" s="71"/>
    </row>
    <row r="6" spans="1:33" s="61" customFormat="1" ht="15" customHeight="1" thickBot="1">
      <c r="A6" s="60"/>
      <c r="B6" s="60"/>
      <c r="C6" s="60"/>
      <c r="D6" s="60"/>
      <c r="E6" s="60"/>
      <c r="F6" s="591"/>
      <c r="G6" s="591"/>
      <c r="H6" s="60"/>
      <c r="I6" s="60"/>
      <c r="J6" s="60"/>
      <c r="K6" s="60"/>
      <c r="L6" s="60"/>
      <c r="M6" s="60"/>
      <c r="U6" s="71"/>
      <c r="V6" s="71"/>
      <c r="W6" s="71"/>
      <c r="X6" s="71"/>
      <c r="Y6" s="71"/>
      <c r="Z6" s="71"/>
      <c r="AA6" s="71"/>
      <c r="AB6" s="71"/>
      <c r="AC6" s="71"/>
      <c r="AD6" s="71"/>
      <c r="AE6" s="71"/>
      <c r="AF6" s="71"/>
      <c r="AG6" s="71"/>
    </row>
    <row r="7" spans="1:33" s="62" customFormat="1" ht="50.25" customHeight="1" thickBot="1">
      <c r="A7" s="302" t="s">
        <v>87</v>
      </c>
      <c r="B7" s="72" t="s">
        <v>82</v>
      </c>
      <c r="C7" s="72" t="s">
        <v>93</v>
      </c>
      <c r="D7" s="72" t="s">
        <v>94</v>
      </c>
      <c r="E7" s="72" t="s">
        <v>95</v>
      </c>
      <c r="F7" s="73" t="s">
        <v>96</v>
      </c>
      <c r="G7" s="380" t="s">
        <v>99</v>
      </c>
      <c r="H7" s="237" t="s">
        <v>256</v>
      </c>
      <c r="I7" s="76" t="s">
        <v>257</v>
      </c>
      <c r="J7" s="381" t="s">
        <v>321</v>
      </c>
      <c r="K7" s="245" t="s">
        <v>101</v>
      </c>
      <c r="L7" s="245" t="s">
        <v>279</v>
      </c>
      <c r="M7" s="75" t="s">
        <v>308</v>
      </c>
      <c r="N7" s="75" t="s">
        <v>309</v>
      </c>
      <c r="O7" s="75" t="s">
        <v>319</v>
      </c>
      <c r="P7" s="75" t="s">
        <v>310</v>
      </c>
      <c r="Q7" s="280" t="s">
        <v>307</v>
      </c>
      <c r="R7" s="77" t="s">
        <v>549</v>
      </c>
      <c r="S7" s="303" t="s">
        <v>278</v>
      </c>
      <c r="T7" s="65"/>
      <c r="U7" s="65"/>
      <c r="V7" s="65"/>
      <c r="W7" s="65"/>
      <c r="X7" s="65"/>
      <c r="Y7" s="65"/>
      <c r="Z7" s="65"/>
      <c r="AA7" s="65"/>
      <c r="AB7" s="65"/>
      <c r="AC7" s="65"/>
      <c r="AD7" s="65"/>
      <c r="AE7" s="65"/>
      <c r="AF7" s="65"/>
    </row>
    <row r="8" spans="1:33" ht="15" customHeight="1">
      <c r="A8" s="78" t="s">
        <v>88</v>
      </c>
      <c r="B8" s="79" t="s">
        <v>83</v>
      </c>
      <c r="C8" s="79" t="s">
        <v>23</v>
      </c>
      <c r="D8" s="79" t="s">
        <v>27</v>
      </c>
      <c r="E8" s="79" t="s">
        <v>89</v>
      </c>
      <c r="F8" s="79" t="s">
        <v>91</v>
      </c>
      <c r="G8" s="80" t="s">
        <v>261</v>
      </c>
      <c r="H8" s="179" t="s">
        <v>238</v>
      </c>
      <c r="I8" s="180" t="s">
        <v>315</v>
      </c>
      <c r="J8" s="79" t="s">
        <v>318</v>
      </c>
      <c r="K8" s="900"/>
      <c r="L8" s="92" t="e">
        <f>IF(ISTEXT($H8),INDEX(VDSL1[Afname (%)],MATCH($H8,VDSL1[Verdeelsleutel],0))*$K8,"")</f>
        <v>#VALUE!</v>
      </c>
      <c r="M8" s="89" t="e">
        <f>IF(ISTEXT($I8),INDEX(VDSL2[TRHS (%)],MATCH($I8,VDSL2[Verdeelsleutel],0))*$L8,"")</f>
        <v>#DIV/0!</v>
      </c>
      <c r="N8" s="89" t="e">
        <f>IF(ISTEXT($I8),INDEX(VDSL2[MS (%)],MATCH($I8,VDSL2[Verdeelsleutel],0))*$L8,"")</f>
        <v>#VALUE!</v>
      </c>
      <c r="O8" s="89" t="e">
        <f>IF(ISTEXT($I8),INDEX(VDSL2[TRLS (%)],MATCH($I8,VDSL2[Verdeelsleutel],0))*$L8,"")</f>
        <v>#VALUE!</v>
      </c>
      <c r="P8" s="89" t="e">
        <f>IF(ISTEXT($I8),INDEX(VDSL2[LS (%)],MATCH($I8,VDSL2[Verdeelsleutel],0))*$L8,"")</f>
        <v>#VALUE!</v>
      </c>
      <c r="Q8" s="89" t="e">
        <f>IF(ISTEXT($J8),INDEX(VDSL3[Afnameklanten op LS met piekmeting (%)],MATCH($J8,VDSL3[Verdeelsleutel],0))*$P8,"")</f>
        <v>#DIV/0!</v>
      </c>
      <c r="R8" s="91" t="e">
        <f>IF(ISTEXT($J8),INDEX(VDSL3[Afnameklanten met KM/TT (%)],MATCH($J8,VDSL3[Verdeelsleutel],0))*$P8,"")</f>
        <v>#DIV/0!</v>
      </c>
      <c r="S8" s="92" t="e">
        <f>IF(ISTEXT($H8),INDEX(VDSL1[Injectie (%)],MATCH($H8,VDSL1[Verdeelsleutel],0))*$K8,"")</f>
        <v>#VALUE!</v>
      </c>
      <c r="T8" s="591"/>
      <c r="U8" s="1"/>
      <c r="V8" s="1"/>
      <c r="AG8" s="60"/>
    </row>
    <row r="9" spans="1:33" ht="15" customHeight="1">
      <c r="A9" s="81" t="s">
        <v>88</v>
      </c>
      <c r="B9" s="82" t="s">
        <v>83</v>
      </c>
      <c r="C9" s="82" t="s">
        <v>23</v>
      </c>
      <c r="D9" s="82" t="s">
        <v>27</v>
      </c>
      <c r="E9" s="82" t="s">
        <v>89</v>
      </c>
      <c r="F9" s="82" t="s">
        <v>91</v>
      </c>
      <c r="G9" s="83" t="s">
        <v>260</v>
      </c>
      <c r="H9" s="181" t="s">
        <v>238</v>
      </c>
      <c r="I9" s="182" t="s">
        <v>315</v>
      </c>
      <c r="J9" s="82" t="s">
        <v>318</v>
      </c>
      <c r="K9" s="901"/>
      <c r="L9" s="95" t="e">
        <f>IF(ISTEXT($H9),INDEX(VDSL1[Afname (%)],MATCH($H9,VDSL1[Verdeelsleutel],0))*$K9,"")</f>
        <v>#VALUE!</v>
      </c>
      <c r="M9" s="93" t="e">
        <f>IF(ISTEXT($I9),INDEX(VDSL2[TRHS (%)],MATCH($I9,VDSL2[Verdeelsleutel],0))*$L9,"")</f>
        <v>#DIV/0!</v>
      </c>
      <c r="N9" s="93" t="e">
        <f>IF(ISTEXT($I9),INDEX(VDSL2[MS (%)],MATCH($I9,VDSL2[Verdeelsleutel],0))*$L9,"")</f>
        <v>#VALUE!</v>
      </c>
      <c r="O9" s="93" t="e">
        <f>IF(ISTEXT($I9),INDEX(VDSL2[TRLS (%)],MATCH($I9,VDSL2[Verdeelsleutel],0))*$L9,"")</f>
        <v>#VALUE!</v>
      </c>
      <c r="P9" s="93" t="e">
        <f>IF(ISTEXT($I9),INDEX(VDSL2[LS (%)],MATCH($I9,VDSL2[Verdeelsleutel],0))*$L9,"")</f>
        <v>#VALUE!</v>
      </c>
      <c r="Q9" s="93" t="e">
        <f>IF(ISTEXT($J9),INDEX(VDSL3[Afnameklanten op LS met piekmeting (%)],MATCH($J9,VDSL3[Verdeelsleutel],0))*$P9,"")</f>
        <v>#DIV/0!</v>
      </c>
      <c r="R9" s="94" t="e">
        <f>IF(ISTEXT($J9),INDEX(VDSL3[Afnameklanten met KM/TT (%)],MATCH($J9,VDSL3[Verdeelsleutel],0))*$P9,"")</f>
        <v>#DIV/0!</v>
      </c>
      <c r="S9" s="95" t="e">
        <f>IF(ISTEXT($H9),INDEX(VDSL1[Injectie (%)],MATCH($H9,VDSL1[Verdeelsleutel],0))*$K9,"")</f>
        <v>#VALUE!</v>
      </c>
      <c r="T9" s="591"/>
      <c r="U9" s="1"/>
      <c r="V9" s="1"/>
      <c r="AG9" s="60"/>
    </row>
    <row r="10" spans="1:33" ht="15" customHeight="1">
      <c r="A10" s="81" t="s">
        <v>88</v>
      </c>
      <c r="B10" s="82" t="s">
        <v>83</v>
      </c>
      <c r="C10" s="82" t="s">
        <v>23</v>
      </c>
      <c r="D10" s="82" t="s">
        <v>27</v>
      </c>
      <c r="E10" s="82" t="s">
        <v>89</v>
      </c>
      <c r="F10" s="82" t="s">
        <v>91</v>
      </c>
      <c r="G10" s="83" t="s">
        <v>228</v>
      </c>
      <c r="H10" s="181" t="s">
        <v>238</v>
      </c>
      <c r="I10" s="182" t="s">
        <v>317</v>
      </c>
      <c r="J10" s="82" t="s">
        <v>318</v>
      </c>
      <c r="K10" s="901"/>
      <c r="L10" s="95" t="e">
        <f>IF(ISTEXT($H10),INDEX(VDSL1[Afname (%)],MATCH($H10,VDSL1[Verdeelsleutel],0))*$K10,"")</f>
        <v>#VALUE!</v>
      </c>
      <c r="M10" s="93" t="e">
        <f>IF(ISTEXT($I10),INDEX(VDSL2[TRHS (%)],MATCH($I10,VDSL2[Verdeelsleutel],0))*$L10,"")</f>
        <v>#DIV/0!</v>
      </c>
      <c r="N10" s="93" t="e">
        <f>IF(ISTEXT($I10),INDEX(VDSL2[MS (%)],MATCH($I10,VDSL2[Verdeelsleutel],0))*$L10,"")</f>
        <v>#DIV/0!</v>
      </c>
      <c r="O10" s="93" t="e">
        <f>IF(ISTEXT($I10),INDEX(VDSL2[TRLS (%)],MATCH($I10,VDSL2[Verdeelsleutel],0))*$L10,"")</f>
        <v>#DIV/0!</v>
      </c>
      <c r="P10" s="93" t="e">
        <f>IF(ISTEXT($I10),INDEX(VDSL2[LS (%)],MATCH($I10,VDSL2[Verdeelsleutel],0))*$L10,"")</f>
        <v>#VALUE!</v>
      </c>
      <c r="Q10" s="93" t="e">
        <f>IF(ISTEXT($J10),INDEX(VDSL3[Afnameklanten op LS met piekmeting (%)],MATCH($J10,VDSL3[Verdeelsleutel],0))*$P10,"")</f>
        <v>#DIV/0!</v>
      </c>
      <c r="R10" s="94" t="e">
        <f>IF(ISTEXT($J10),INDEX(VDSL3[Afnameklanten met KM/TT (%)],MATCH($J10,VDSL3[Verdeelsleutel],0))*$P10,"")</f>
        <v>#DIV/0!</v>
      </c>
      <c r="S10" s="95" t="e">
        <f>IF(ISTEXT($H10),INDEX(VDSL1[Injectie (%)],MATCH($H10,VDSL1[Verdeelsleutel],0))*$K10,"")</f>
        <v>#VALUE!</v>
      </c>
      <c r="T10" s="591"/>
      <c r="U10" s="1"/>
      <c r="V10" s="1"/>
      <c r="AG10" s="60"/>
    </row>
    <row r="11" spans="1:33" ht="15" customHeight="1">
      <c r="A11" s="81" t="s">
        <v>88</v>
      </c>
      <c r="B11" s="82" t="s">
        <v>83</v>
      </c>
      <c r="C11" s="82" t="s">
        <v>23</v>
      </c>
      <c r="D11" s="82" t="s">
        <v>27</v>
      </c>
      <c r="E11" s="82" t="s">
        <v>89</v>
      </c>
      <c r="F11" s="82" t="s">
        <v>91</v>
      </c>
      <c r="G11" s="83" t="s">
        <v>32</v>
      </c>
      <c r="H11" s="181" t="s">
        <v>238</v>
      </c>
      <c r="I11" s="182" t="s">
        <v>317</v>
      </c>
      <c r="J11" s="82" t="s">
        <v>318</v>
      </c>
      <c r="K11" s="901"/>
      <c r="L11" s="95" t="e">
        <f>IF(ISTEXT($H11),INDEX(VDSL1[Afname (%)],MATCH($H11,VDSL1[Verdeelsleutel],0))*$K11,"")</f>
        <v>#VALUE!</v>
      </c>
      <c r="M11" s="93" t="e">
        <f>IF(ISTEXT($I11),INDEX(VDSL2[TRHS (%)],MATCH($I11,VDSL2[Verdeelsleutel],0))*$L11,"")</f>
        <v>#DIV/0!</v>
      </c>
      <c r="N11" s="93" t="e">
        <f>IF(ISTEXT($I11),INDEX(VDSL2[MS (%)],MATCH($I11,VDSL2[Verdeelsleutel],0))*$L11,"")</f>
        <v>#DIV/0!</v>
      </c>
      <c r="O11" s="93" t="e">
        <f>IF(ISTEXT($I11),INDEX(VDSL2[TRLS (%)],MATCH($I11,VDSL2[Verdeelsleutel],0))*$L11,"")</f>
        <v>#DIV/0!</v>
      </c>
      <c r="P11" s="93" t="e">
        <f>IF(ISTEXT($I11),INDEX(VDSL2[LS (%)],MATCH($I11,VDSL2[Verdeelsleutel],0))*$L11,"")</f>
        <v>#VALUE!</v>
      </c>
      <c r="Q11" s="93" t="e">
        <f>IF(ISTEXT($J11),INDEX(VDSL3[Afnameklanten op LS met piekmeting (%)],MATCH($J11,VDSL3[Verdeelsleutel],0))*$P11,"")</f>
        <v>#DIV/0!</v>
      </c>
      <c r="R11" s="94" t="e">
        <f>IF(ISTEXT($J11),INDEX(VDSL3[Afnameklanten met KM/TT (%)],MATCH($J11,VDSL3[Verdeelsleutel],0))*$P11,"")</f>
        <v>#DIV/0!</v>
      </c>
      <c r="S11" s="95" t="e">
        <f>IF(ISTEXT($H11),INDEX(VDSL1[Injectie (%)],MATCH($H11,VDSL1[Verdeelsleutel],0))*$K11,"")</f>
        <v>#VALUE!</v>
      </c>
      <c r="T11" s="591"/>
      <c r="U11" s="1"/>
      <c r="V11" s="1"/>
      <c r="AG11" s="60"/>
    </row>
    <row r="12" spans="1:33" ht="15" customHeight="1">
      <c r="A12" s="81" t="s">
        <v>88</v>
      </c>
      <c r="B12" s="82" t="s">
        <v>83</v>
      </c>
      <c r="C12" s="82" t="s">
        <v>23</v>
      </c>
      <c r="D12" s="82" t="s">
        <v>27</v>
      </c>
      <c r="E12" s="82" t="s">
        <v>89</v>
      </c>
      <c r="F12" s="82" t="s">
        <v>91</v>
      </c>
      <c r="G12" s="83" t="s">
        <v>255</v>
      </c>
      <c r="H12" s="181" t="s">
        <v>238</v>
      </c>
      <c r="I12" s="182" t="s">
        <v>315</v>
      </c>
      <c r="J12" s="82" t="s">
        <v>318</v>
      </c>
      <c r="K12" s="901"/>
      <c r="L12" s="95" t="e">
        <f>IF(ISTEXT($H12),INDEX(VDSL1[Afname (%)],MATCH($H12,VDSL1[Verdeelsleutel],0))*$K12,"")</f>
        <v>#VALUE!</v>
      </c>
      <c r="M12" s="93" t="e">
        <f>IF(ISTEXT($I12),INDEX(VDSL2[TRHS (%)],MATCH($I12,VDSL2[Verdeelsleutel],0))*$L12,"")</f>
        <v>#DIV/0!</v>
      </c>
      <c r="N12" s="93" t="e">
        <f>IF(ISTEXT($I12),INDEX(VDSL2[MS (%)],MATCH($I12,VDSL2[Verdeelsleutel],0))*$L12,"")</f>
        <v>#VALUE!</v>
      </c>
      <c r="O12" s="93" t="e">
        <f>IF(ISTEXT($I12),INDEX(VDSL2[TRLS (%)],MATCH($I12,VDSL2[Verdeelsleutel],0))*$L12,"")</f>
        <v>#VALUE!</v>
      </c>
      <c r="P12" s="93" t="e">
        <f>IF(ISTEXT($I12),INDEX(VDSL2[LS (%)],MATCH($I12,VDSL2[Verdeelsleutel],0))*$L12,"")</f>
        <v>#VALUE!</v>
      </c>
      <c r="Q12" s="93" t="e">
        <f>IF(ISTEXT($J12),INDEX(VDSL3[Afnameklanten op LS met piekmeting (%)],MATCH($J12,VDSL3[Verdeelsleutel],0))*$P12,"")</f>
        <v>#DIV/0!</v>
      </c>
      <c r="R12" s="94" t="e">
        <f>IF(ISTEXT($J12),INDEX(VDSL3[Afnameklanten met KM/TT (%)],MATCH($J12,VDSL3[Verdeelsleutel],0))*$P12,"")</f>
        <v>#DIV/0!</v>
      </c>
      <c r="S12" s="95" t="e">
        <f>IF(ISTEXT($H12),INDEX(VDSL1[Injectie (%)],MATCH($H12,VDSL1[Verdeelsleutel],0))*$K12,"")</f>
        <v>#VALUE!</v>
      </c>
      <c r="T12" s="591"/>
      <c r="U12" s="1"/>
      <c r="V12" s="1"/>
      <c r="AG12" s="60"/>
    </row>
    <row r="13" spans="1:33" ht="15" customHeight="1">
      <c r="A13" s="81" t="s">
        <v>88</v>
      </c>
      <c r="B13" s="82" t="s">
        <v>83</v>
      </c>
      <c r="C13" s="82" t="s">
        <v>23</v>
      </c>
      <c r="D13" s="82" t="s">
        <v>27</v>
      </c>
      <c r="E13" s="82" t="s">
        <v>89</v>
      </c>
      <c r="F13" s="82" t="s">
        <v>91</v>
      </c>
      <c r="G13" s="83" t="s">
        <v>30</v>
      </c>
      <c r="H13" s="181" t="s">
        <v>238</v>
      </c>
      <c r="I13" s="182" t="s">
        <v>315</v>
      </c>
      <c r="J13" s="82" t="s">
        <v>318</v>
      </c>
      <c r="K13" s="901"/>
      <c r="L13" s="95" t="e">
        <f>IF(ISTEXT($H13),INDEX(VDSL1[Afname (%)],MATCH($H13,VDSL1[Verdeelsleutel],0))*$K13,"")</f>
        <v>#VALUE!</v>
      </c>
      <c r="M13" s="93" t="e">
        <f>IF(ISTEXT($I13),INDEX(VDSL2[TRHS (%)],MATCH($I13,VDSL2[Verdeelsleutel],0))*$L13,"")</f>
        <v>#DIV/0!</v>
      </c>
      <c r="N13" s="93" t="e">
        <f>IF(ISTEXT($I13),INDEX(VDSL2[MS (%)],MATCH($I13,VDSL2[Verdeelsleutel],0))*$L13,"")</f>
        <v>#VALUE!</v>
      </c>
      <c r="O13" s="93" t="e">
        <f>IF(ISTEXT($I13),INDEX(VDSL2[TRLS (%)],MATCH($I13,VDSL2[Verdeelsleutel],0))*$L13,"")</f>
        <v>#VALUE!</v>
      </c>
      <c r="P13" s="93" t="e">
        <f>IF(ISTEXT($I13),INDEX(VDSL2[LS (%)],MATCH($I13,VDSL2[Verdeelsleutel],0))*$L13,"")</f>
        <v>#VALUE!</v>
      </c>
      <c r="Q13" s="93" t="e">
        <f>IF(ISTEXT($J13),INDEX(VDSL3[Afnameklanten op LS met piekmeting (%)],MATCH($J13,VDSL3[Verdeelsleutel],0))*$P13,"")</f>
        <v>#DIV/0!</v>
      </c>
      <c r="R13" s="94" t="e">
        <f>IF(ISTEXT($J13),INDEX(VDSL3[Afnameklanten met KM/TT (%)],MATCH($J13,VDSL3[Verdeelsleutel],0))*$P13,"")</f>
        <v>#DIV/0!</v>
      </c>
      <c r="S13" s="95" t="e">
        <f>IF(ISTEXT($H13),INDEX(VDSL1[Injectie (%)],MATCH($H13,VDSL1[Verdeelsleutel],0))*$K13,"")</f>
        <v>#VALUE!</v>
      </c>
      <c r="T13" s="591"/>
      <c r="U13" s="1"/>
      <c r="V13" s="1"/>
      <c r="AG13" s="60"/>
    </row>
    <row r="14" spans="1:33" ht="15" customHeight="1">
      <c r="A14" s="81" t="s">
        <v>88</v>
      </c>
      <c r="B14" s="82" t="s">
        <v>83</v>
      </c>
      <c r="C14" s="82" t="s">
        <v>23</v>
      </c>
      <c r="D14" s="82" t="s">
        <v>27</v>
      </c>
      <c r="E14" s="82" t="s">
        <v>89</v>
      </c>
      <c r="F14" s="82" t="s">
        <v>91</v>
      </c>
      <c r="G14" s="83" t="s">
        <v>29</v>
      </c>
      <c r="H14" s="181" t="s">
        <v>238</v>
      </c>
      <c r="I14" s="182" t="s">
        <v>314</v>
      </c>
      <c r="J14" s="82" t="s">
        <v>318</v>
      </c>
      <c r="K14" s="901"/>
      <c r="L14" s="95" t="e">
        <f>IF(ISTEXT($H14),INDEX(VDSL1[Afname (%)],MATCH($H14,VDSL1[Verdeelsleutel],0))*$K14,"")</f>
        <v>#VALUE!</v>
      </c>
      <c r="M14" s="93" t="e">
        <f>IF(ISTEXT($I14),INDEX(VDSL2[TRHS (%)],MATCH($I14,VDSL2[Verdeelsleutel],0))*$L14,"")</f>
        <v>#VALUE!</v>
      </c>
      <c r="N14" s="93" t="e">
        <f>IF(ISTEXT($I14),INDEX(VDSL2[MS (%)],MATCH($I14,VDSL2[Verdeelsleutel],0))*$L14,"")</f>
        <v>#VALUE!</v>
      </c>
      <c r="O14" s="93" t="e">
        <f>IF(ISTEXT($I14),INDEX(VDSL2[TRLS (%)],MATCH($I14,VDSL2[Verdeelsleutel],0))*$L14,"")</f>
        <v>#VALUE!</v>
      </c>
      <c r="P14" s="93" t="e">
        <f>IF(ISTEXT($I14),INDEX(VDSL2[LS (%)],MATCH($I14,VDSL2[Verdeelsleutel],0))*$L14,"")</f>
        <v>#VALUE!</v>
      </c>
      <c r="Q14" s="93" t="e">
        <f>IF(ISTEXT($J14),INDEX(VDSL3[Afnameklanten op LS met piekmeting (%)],MATCH($J14,VDSL3[Verdeelsleutel],0))*$P14,"")</f>
        <v>#DIV/0!</v>
      </c>
      <c r="R14" s="94" t="e">
        <f>IF(ISTEXT($J14),INDEX(VDSL3[Afnameklanten met KM/TT (%)],MATCH($J14,VDSL3[Verdeelsleutel],0))*$P14,"")</f>
        <v>#DIV/0!</v>
      </c>
      <c r="S14" s="95" t="e">
        <f>IF(ISTEXT($H14),INDEX(VDSL1[Injectie (%)],MATCH($H14,VDSL1[Verdeelsleutel],0))*$K14,"")</f>
        <v>#VALUE!</v>
      </c>
      <c r="T14" s="591"/>
      <c r="U14" s="1"/>
      <c r="V14" s="1"/>
      <c r="AG14" s="60"/>
    </row>
    <row r="15" spans="1:33" ht="15" customHeight="1">
      <c r="A15" s="81" t="s">
        <v>88</v>
      </c>
      <c r="B15" s="82" t="s">
        <v>83</v>
      </c>
      <c r="C15" s="82" t="s">
        <v>23</v>
      </c>
      <c r="D15" s="82" t="s">
        <v>27</v>
      </c>
      <c r="E15" s="82" t="s">
        <v>89</v>
      </c>
      <c r="F15" s="82" t="s">
        <v>91</v>
      </c>
      <c r="G15" s="83" t="s">
        <v>28</v>
      </c>
      <c r="H15" s="181" t="s">
        <v>238</v>
      </c>
      <c r="I15" s="182" t="s">
        <v>314</v>
      </c>
      <c r="J15" s="82" t="s">
        <v>318</v>
      </c>
      <c r="K15" s="901"/>
      <c r="L15" s="95" t="e">
        <f>IF(ISTEXT($H15),INDEX(VDSL1[Afname (%)],MATCH($H15,VDSL1[Verdeelsleutel],0))*$K15,"")</f>
        <v>#VALUE!</v>
      </c>
      <c r="M15" s="93" t="e">
        <f>IF(ISTEXT($I15),INDEX(VDSL2[TRHS (%)],MATCH($I15,VDSL2[Verdeelsleutel],0))*$L15,"")</f>
        <v>#VALUE!</v>
      </c>
      <c r="N15" s="93" t="e">
        <f>IF(ISTEXT($I15),INDEX(VDSL2[MS (%)],MATCH($I15,VDSL2[Verdeelsleutel],0))*$L15,"")</f>
        <v>#VALUE!</v>
      </c>
      <c r="O15" s="93" t="e">
        <f>IF(ISTEXT($I15),INDEX(VDSL2[TRLS (%)],MATCH($I15,VDSL2[Verdeelsleutel],0))*$L15,"")</f>
        <v>#VALUE!</v>
      </c>
      <c r="P15" s="93" t="e">
        <f>IF(ISTEXT($I15),INDEX(VDSL2[LS (%)],MATCH($I15,VDSL2[Verdeelsleutel],0))*$L15,"")</f>
        <v>#VALUE!</v>
      </c>
      <c r="Q15" s="93" t="e">
        <f>IF(ISTEXT($J15),INDEX(VDSL3[Afnameklanten op LS met piekmeting (%)],MATCH($J15,VDSL3[Verdeelsleutel],0))*$P15,"")</f>
        <v>#DIV/0!</v>
      </c>
      <c r="R15" s="94" t="e">
        <f>IF(ISTEXT($J15),INDEX(VDSL3[Afnameklanten met KM/TT (%)],MATCH($J15,VDSL3[Verdeelsleutel],0))*$P15,"")</f>
        <v>#DIV/0!</v>
      </c>
      <c r="S15" s="95" t="e">
        <f>IF(ISTEXT($H15),INDEX(VDSL1[Injectie (%)],MATCH($H15,VDSL1[Verdeelsleutel],0))*$K15,"")</f>
        <v>#VALUE!</v>
      </c>
      <c r="T15" s="591"/>
      <c r="U15" s="1"/>
      <c r="V15" s="1"/>
      <c r="AG15" s="60"/>
    </row>
    <row r="16" spans="1:33" ht="15" customHeight="1">
      <c r="A16" s="81" t="s">
        <v>88</v>
      </c>
      <c r="B16" s="82" t="s">
        <v>83</v>
      </c>
      <c r="C16" s="82" t="s">
        <v>23</v>
      </c>
      <c r="D16" s="82" t="s">
        <v>27</v>
      </c>
      <c r="E16" s="82" t="s">
        <v>89</v>
      </c>
      <c r="F16" s="82" t="s">
        <v>91</v>
      </c>
      <c r="G16" s="83" t="s">
        <v>227</v>
      </c>
      <c r="H16" s="181" t="s">
        <v>238</v>
      </c>
      <c r="I16" s="182" t="s">
        <v>316</v>
      </c>
      <c r="J16" s="82" t="s">
        <v>318</v>
      </c>
      <c r="K16" s="901"/>
      <c r="L16" s="95" t="e">
        <f>IF(ISTEXT($H16),INDEX(VDSL1[Afname (%)],MATCH($H16,VDSL1[Verdeelsleutel],0))*$K16,"")</f>
        <v>#VALUE!</v>
      </c>
      <c r="M16" s="93" t="e">
        <f>IF(ISTEXT($I16),INDEX(VDSL2[TRHS (%)],MATCH($I16,VDSL2[Verdeelsleutel],0))*$L16,"")</f>
        <v>#DIV/0!</v>
      </c>
      <c r="N16" s="93" t="e">
        <f>IF(ISTEXT($I16),INDEX(VDSL2[MS (%)],MATCH($I16,VDSL2[Verdeelsleutel],0))*$L16,"")</f>
        <v>#DIV/0!</v>
      </c>
      <c r="O16" s="93" t="e">
        <f>IF(ISTEXT($I16),INDEX(VDSL2[TRLS (%)],MATCH($I16,VDSL2[Verdeelsleutel],0))*$L16,"")</f>
        <v>#VALUE!</v>
      </c>
      <c r="P16" s="93" t="e">
        <f>IF(ISTEXT($I16),INDEX(VDSL2[LS (%)],MATCH($I16,VDSL2[Verdeelsleutel],0))*$L16,"")</f>
        <v>#VALUE!</v>
      </c>
      <c r="Q16" s="93" t="e">
        <f>IF(ISTEXT($J16),INDEX(VDSL3[Afnameklanten op LS met piekmeting (%)],MATCH($J16,VDSL3[Verdeelsleutel],0))*$P16,"")</f>
        <v>#DIV/0!</v>
      </c>
      <c r="R16" s="94" t="e">
        <f>IF(ISTEXT($J16),INDEX(VDSL3[Afnameklanten met KM/TT (%)],MATCH($J16,VDSL3[Verdeelsleutel],0))*$P16,"")</f>
        <v>#DIV/0!</v>
      </c>
      <c r="S16" s="95" t="e">
        <f>IF(ISTEXT($H16),INDEX(VDSL1[Injectie (%)],MATCH($H16,VDSL1[Verdeelsleutel],0))*$K16,"")</f>
        <v>#VALUE!</v>
      </c>
      <c r="T16" s="591"/>
      <c r="U16" s="1"/>
      <c r="V16" s="1"/>
      <c r="AG16" s="60"/>
    </row>
    <row r="17" spans="1:33" ht="15" customHeight="1">
      <c r="A17" s="81" t="s">
        <v>88</v>
      </c>
      <c r="B17" s="82" t="s">
        <v>83</v>
      </c>
      <c r="C17" s="82" t="s">
        <v>23</v>
      </c>
      <c r="D17" s="82" t="s">
        <v>27</v>
      </c>
      <c r="E17" s="82" t="s">
        <v>89</v>
      </c>
      <c r="F17" s="82" t="s">
        <v>91</v>
      </c>
      <c r="G17" s="83" t="s">
        <v>31</v>
      </c>
      <c r="H17" s="181" t="s">
        <v>238</v>
      </c>
      <c r="I17" s="182" t="s">
        <v>316</v>
      </c>
      <c r="J17" s="82" t="s">
        <v>318</v>
      </c>
      <c r="K17" s="901"/>
      <c r="L17" s="95" t="e">
        <f>IF(ISTEXT($H17),INDEX(VDSL1[Afname (%)],MATCH($H17,VDSL1[Verdeelsleutel],0))*$K17,"")</f>
        <v>#VALUE!</v>
      </c>
      <c r="M17" s="93" t="e">
        <f>IF(ISTEXT($I17),INDEX(VDSL2[TRHS (%)],MATCH($I17,VDSL2[Verdeelsleutel],0))*$L17,"")</f>
        <v>#DIV/0!</v>
      </c>
      <c r="N17" s="93" t="e">
        <f>IF(ISTEXT($I17),INDEX(VDSL2[MS (%)],MATCH($I17,VDSL2[Verdeelsleutel],0))*$L17,"")</f>
        <v>#DIV/0!</v>
      </c>
      <c r="O17" s="93" t="e">
        <f>IF(ISTEXT($I17),INDEX(VDSL2[TRLS (%)],MATCH($I17,VDSL2[Verdeelsleutel],0))*$L17,"")</f>
        <v>#VALUE!</v>
      </c>
      <c r="P17" s="93" t="e">
        <f>IF(ISTEXT($I17),INDEX(VDSL2[LS (%)],MATCH($I17,VDSL2[Verdeelsleutel],0))*$L17,"")</f>
        <v>#VALUE!</v>
      </c>
      <c r="Q17" s="93" t="e">
        <f>IF(ISTEXT($J17),INDEX(VDSL3[Afnameklanten op LS met piekmeting (%)],MATCH($J17,VDSL3[Verdeelsleutel],0))*$P17,"")</f>
        <v>#DIV/0!</v>
      </c>
      <c r="R17" s="94" t="e">
        <f>IF(ISTEXT($J17),INDEX(VDSL3[Afnameklanten met KM/TT (%)],MATCH($J17,VDSL3[Verdeelsleutel],0))*$P17,"")</f>
        <v>#DIV/0!</v>
      </c>
      <c r="S17" s="95" t="e">
        <f>IF(ISTEXT($H17),INDEX(VDSL1[Injectie (%)],MATCH($H17,VDSL1[Verdeelsleutel],0))*$K17,"")</f>
        <v>#VALUE!</v>
      </c>
      <c r="T17" s="591"/>
      <c r="U17" s="1"/>
      <c r="V17" s="1"/>
      <c r="AG17" s="60"/>
    </row>
    <row r="18" spans="1:33" ht="15" customHeight="1">
      <c r="A18" s="81" t="s">
        <v>88</v>
      </c>
      <c r="B18" s="82" t="s">
        <v>83</v>
      </c>
      <c r="C18" s="82" t="s">
        <v>23</v>
      </c>
      <c r="D18" s="82" t="s">
        <v>27</v>
      </c>
      <c r="E18" s="82" t="s">
        <v>90</v>
      </c>
      <c r="F18" s="82" t="s">
        <v>92</v>
      </c>
      <c r="G18" s="83" t="s">
        <v>156</v>
      </c>
      <c r="H18" s="181" t="s">
        <v>239</v>
      </c>
      <c r="I18" s="182" t="s">
        <v>158</v>
      </c>
      <c r="J18" s="82" t="s">
        <v>14</v>
      </c>
      <c r="K18" s="901"/>
      <c r="L18" s="95">
        <f>IF(ISTEXT($H18),INDEX(VDSL1[Afname (%)],MATCH($H18,VDSL1[Verdeelsleutel],0))*$K18,"")</f>
        <v>0</v>
      </c>
      <c r="M18" s="93" t="e">
        <f>IF(ISTEXT($I18),INDEX(VDSL2[TRHS (%)],MATCH($I18,VDSL2[Verdeelsleutel],0))*$L18,"")</f>
        <v>#DIV/0!</v>
      </c>
      <c r="N18" s="93" t="e">
        <f>IF(ISTEXT($I18),INDEX(VDSL2[MS (%)],MATCH($I18,VDSL2[Verdeelsleutel],0))*$L18,"")</f>
        <v>#DIV/0!</v>
      </c>
      <c r="O18" s="93" t="e">
        <f>IF(ISTEXT($I18),INDEX(VDSL2[TRLS (%)],MATCH($I18,VDSL2[Verdeelsleutel],0))*$L18,"")</f>
        <v>#DIV/0!</v>
      </c>
      <c r="P18" s="93" t="e">
        <f>IF(ISTEXT($I18),INDEX(VDSL2[LS (%)],MATCH($I18,VDSL2[Verdeelsleutel],0))*$L18,"")</f>
        <v>#DIV/0!</v>
      </c>
      <c r="Q18" s="93" t="e">
        <f>IF(ISTEXT($J18),INDEX(VDSL3[Afnameklanten op LS met piekmeting (%)],MATCH($J18,VDSL3[Verdeelsleutel],0))*$P18,"")</f>
        <v>#DIV/0!</v>
      </c>
      <c r="R18" s="94" t="e">
        <f>IF(ISTEXT($J18),INDEX(VDSL3[Afnameklanten met KM/TT (%)],MATCH($J18,VDSL3[Verdeelsleutel],0))*$P18,"")</f>
        <v>#DIV/0!</v>
      </c>
      <c r="S18" s="95">
        <f>IF(ISTEXT($H18),INDEX(VDSL1[Injectie (%)],MATCH($H18,VDSL1[Verdeelsleutel],0))*$K18,"")</f>
        <v>0</v>
      </c>
      <c r="T18" s="591"/>
      <c r="U18" s="1"/>
      <c r="V18" s="1"/>
      <c r="AG18" s="60"/>
    </row>
    <row r="19" spans="1:33" ht="15" customHeight="1">
      <c r="A19" s="81" t="s">
        <v>88</v>
      </c>
      <c r="B19" s="82" t="s">
        <v>83</v>
      </c>
      <c r="C19" s="82" t="s">
        <v>23</v>
      </c>
      <c r="D19" s="82" t="s">
        <v>27</v>
      </c>
      <c r="E19" s="82" t="s">
        <v>90</v>
      </c>
      <c r="F19" s="82" t="s">
        <v>92</v>
      </c>
      <c r="G19" s="83" t="s">
        <v>155</v>
      </c>
      <c r="H19" s="181" t="s">
        <v>239</v>
      </c>
      <c r="I19" s="182" t="s">
        <v>158</v>
      </c>
      <c r="J19" s="82" t="s">
        <v>14</v>
      </c>
      <c r="K19" s="901"/>
      <c r="L19" s="95">
        <f>IF(ISTEXT($H19),INDEX(VDSL1[Afname (%)],MATCH($H19,VDSL1[Verdeelsleutel],0))*$K19,"")</f>
        <v>0</v>
      </c>
      <c r="M19" s="93" t="e">
        <f>IF(ISTEXT($I19),INDEX(VDSL2[TRHS (%)],MATCH($I19,VDSL2[Verdeelsleutel],0))*$L19,"")</f>
        <v>#DIV/0!</v>
      </c>
      <c r="N19" s="93" t="e">
        <f>IF(ISTEXT($I19),INDEX(VDSL2[MS (%)],MATCH($I19,VDSL2[Verdeelsleutel],0))*$L19,"")</f>
        <v>#DIV/0!</v>
      </c>
      <c r="O19" s="93" t="e">
        <f>IF(ISTEXT($I19),INDEX(VDSL2[TRLS (%)],MATCH($I19,VDSL2[Verdeelsleutel],0))*$L19,"")</f>
        <v>#DIV/0!</v>
      </c>
      <c r="P19" s="93" t="e">
        <f>IF(ISTEXT($I19),INDEX(VDSL2[LS (%)],MATCH($I19,VDSL2[Verdeelsleutel],0))*$L19,"")</f>
        <v>#DIV/0!</v>
      </c>
      <c r="Q19" s="93" t="e">
        <f>IF(ISTEXT($J19),INDEX(VDSL3[Afnameklanten op LS met piekmeting (%)],MATCH($J19,VDSL3[Verdeelsleutel],0))*$P19,"")</f>
        <v>#DIV/0!</v>
      </c>
      <c r="R19" s="94" t="e">
        <f>IF(ISTEXT($J19),INDEX(VDSL3[Afnameklanten met KM/TT (%)],MATCH($J19,VDSL3[Verdeelsleutel],0))*$P19,"")</f>
        <v>#DIV/0!</v>
      </c>
      <c r="S19" s="95">
        <f>IF(ISTEXT($H19),INDEX(VDSL1[Injectie (%)],MATCH($H19,VDSL1[Verdeelsleutel],0))*$K19,"")</f>
        <v>0</v>
      </c>
      <c r="T19" s="591"/>
      <c r="U19" s="1"/>
      <c r="V19" s="1"/>
      <c r="AG19" s="60"/>
    </row>
    <row r="20" spans="1:33" ht="15" customHeight="1">
      <c r="A20" s="81" t="s">
        <v>88</v>
      </c>
      <c r="B20" s="82" t="s">
        <v>83</v>
      </c>
      <c r="C20" s="82" t="s">
        <v>23</v>
      </c>
      <c r="D20" s="82" t="s">
        <v>27</v>
      </c>
      <c r="E20" s="82" t="s">
        <v>90</v>
      </c>
      <c r="F20" s="82" t="s">
        <v>92</v>
      </c>
      <c r="G20" s="83" t="s">
        <v>33</v>
      </c>
      <c r="H20" s="181" t="s">
        <v>239</v>
      </c>
      <c r="I20" s="182" t="s">
        <v>14</v>
      </c>
      <c r="J20" s="82" t="s">
        <v>14</v>
      </c>
      <c r="K20" s="901"/>
      <c r="L20" s="95">
        <f>IF(ISTEXT($H20),INDEX(VDSL1[Afname (%)],MATCH($H20,VDSL1[Verdeelsleutel],0))*$K20,"")</f>
        <v>0</v>
      </c>
      <c r="M20" s="93" t="e">
        <f>IF(ISTEXT($I20),INDEX(VDSL2[TRHS (%)],MATCH($I20,VDSL2[Verdeelsleutel],0))*$L20,"")</f>
        <v>#DIV/0!</v>
      </c>
      <c r="N20" s="93" t="e">
        <f>IF(ISTEXT($I20),INDEX(VDSL2[MS (%)],MATCH($I20,VDSL2[Verdeelsleutel],0))*$L20,"")</f>
        <v>#DIV/0!</v>
      </c>
      <c r="O20" s="93" t="e">
        <f>IF(ISTEXT($I20),INDEX(VDSL2[TRLS (%)],MATCH($I20,VDSL2[Verdeelsleutel],0))*$L20,"")</f>
        <v>#DIV/0!</v>
      </c>
      <c r="P20" s="93" t="e">
        <f>IF(ISTEXT($I20),INDEX(VDSL2[LS (%)],MATCH($I20,VDSL2[Verdeelsleutel],0))*$L20,"")</f>
        <v>#DIV/0!</v>
      </c>
      <c r="Q20" s="93" t="e">
        <f>IF(ISTEXT($J20),INDEX(VDSL3[Afnameklanten op LS met piekmeting (%)],MATCH($J20,VDSL3[Verdeelsleutel],0))*$P20,"")</f>
        <v>#DIV/0!</v>
      </c>
      <c r="R20" s="94" t="e">
        <f>IF(ISTEXT($J20),INDEX(VDSL3[Afnameklanten met KM/TT (%)],MATCH($J20,VDSL3[Verdeelsleutel],0))*$P20,"")</f>
        <v>#DIV/0!</v>
      </c>
      <c r="S20" s="95">
        <f>IF(ISTEXT($H20),INDEX(VDSL1[Injectie (%)],MATCH($H20,VDSL1[Verdeelsleutel],0))*$K20,"")</f>
        <v>0</v>
      </c>
      <c r="T20" s="591"/>
      <c r="U20" s="1"/>
      <c r="V20" s="1"/>
      <c r="AG20" s="60"/>
    </row>
    <row r="21" spans="1:33" ht="15" customHeight="1">
      <c r="A21" s="81" t="s">
        <v>88</v>
      </c>
      <c r="B21" s="82" t="s">
        <v>83</v>
      </c>
      <c r="C21" s="82" t="s">
        <v>23</v>
      </c>
      <c r="D21" s="82" t="s">
        <v>27</v>
      </c>
      <c r="E21" s="82" t="s">
        <v>90</v>
      </c>
      <c r="F21" s="82" t="s">
        <v>92</v>
      </c>
      <c r="G21" s="83" t="s">
        <v>34</v>
      </c>
      <c r="H21" s="181" t="s">
        <v>239</v>
      </c>
      <c r="I21" s="182" t="s">
        <v>158</v>
      </c>
      <c r="J21" s="82" t="s">
        <v>14</v>
      </c>
      <c r="K21" s="901"/>
      <c r="L21" s="95">
        <f>IF(ISTEXT($H21),INDEX(VDSL1[Afname (%)],MATCH($H21,VDSL1[Verdeelsleutel],0))*$K21,"")</f>
        <v>0</v>
      </c>
      <c r="M21" s="93" t="e">
        <f>IF(ISTEXT($I21),INDEX(VDSL2[TRHS (%)],MATCH($I21,VDSL2[Verdeelsleutel],0))*$L21,"")</f>
        <v>#DIV/0!</v>
      </c>
      <c r="N21" s="93" t="e">
        <f>IF(ISTEXT($I21),INDEX(VDSL2[MS (%)],MATCH($I21,VDSL2[Verdeelsleutel],0))*$L21,"")</f>
        <v>#DIV/0!</v>
      </c>
      <c r="O21" s="93" t="e">
        <f>IF(ISTEXT($I21),INDEX(VDSL2[TRLS (%)],MATCH($I21,VDSL2[Verdeelsleutel],0))*$L21,"")</f>
        <v>#DIV/0!</v>
      </c>
      <c r="P21" s="93" t="e">
        <f>IF(ISTEXT($I21),INDEX(VDSL2[LS (%)],MATCH($I21,VDSL2[Verdeelsleutel],0))*$L21,"")</f>
        <v>#DIV/0!</v>
      </c>
      <c r="Q21" s="93" t="e">
        <f>IF(ISTEXT($J21),INDEX(VDSL3[Afnameklanten op LS met piekmeting (%)],MATCH($J21,VDSL3[Verdeelsleutel],0))*$P21,"")</f>
        <v>#DIV/0!</v>
      </c>
      <c r="R21" s="94" t="e">
        <f>IF(ISTEXT($J21),INDEX(VDSL3[Afnameklanten met KM/TT (%)],MATCH($J21,VDSL3[Verdeelsleutel],0))*$P21,"")</f>
        <v>#DIV/0!</v>
      </c>
      <c r="S21" s="95">
        <f>IF(ISTEXT($H21),INDEX(VDSL1[Injectie (%)],MATCH($H21,VDSL1[Verdeelsleutel],0))*$K21,"")</f>
        <v>0</v>
      </c>
      <c r="T21" s="591"/>
      <c r="U21" s="1"/>
      <c r="V21" s="1"/>
      <c r="AG21" s="60"/>
    </row>
    <row r="22" spans="1:33" ht="15" customHeight="1">
      <c r="A22" s="81" t="s">
        <v>88</v>
      </c>
      <c r="B22" s="82" t="s">
        <v>83</v>
      </c>
      <c r="C22" s="82" t="s">
        <v>23</v>
      </c>
      <c r="D22" s="82" t="s">
        <v>27</v>
      </c>
      <c r="E22" s="82" t="s">
        <v>90</v>
      </c>
      <c r="F22" s="82" t="s">
        <v>92</v>
      </c>
      <c r="G22" s="83" t="s">
        <v>35</v>
      </c>
      <c r="H22" s="181" t="s">
        <v>14</v>
      </c>
      <c r="I22" s="182" t="s">
        <v>14</v>
      </c>
      <c r="J22" s="82" t="s">
        <v>14</v>
      </c>
      <c r="K22" s="901"/>
      <c r="L22" s="95" t="e">
        <f>IF(ISTEXT($H22),INDEX(VDSL1[Afname (%)],MATCH($H22,VDSL1[Verdeelsleutel],0))*$K22,"")</f>
        <v>#DIV/0!</v>
      </c>
      <c r="M22" s="93" t="e">
        <f>IF(ISTEXT($I22),INDEX(VDSL2[TRHS (%)],MATCH($I22,VDSL2[Verdeelsleutel],0))*$L22,"")</f>
        <v>#DIV/0!</v>
      </c>
      <c r="N22" s="93" t="e">
        <f>IF(ISTEXT($I22),INDEX(VDSL2[MS (%)],MATCH($I22,VDSL2[Verdeelsleutel],0))*$L22,"")</f>
        <v>#DIV/0!</v>
      </c>
      <c r="O22" s="93" t="e">
        <f>IF(ISTEXT($I22),INDEX(VDSL2[TRLS (%)],MATCH($I22,VDSL2[Verdeelsleutel],0))*$L22,"")</f>
        <v>#DIV/0!</v>
      </c>
      <c r="P22" s="93" t="e">
        <f>IF(ISTEXT($I22),INDEX(VDSL2[LS (%)],MATCH($I22,VDSL2[Verdeelsleutel],0))*$L22,"")</f>
        <v>#DIV/0!</v>
      </c>
      <c r="Q22" s="93" t="e">
        <f>IF(ISTEXT($J22),INDEX(VDSL3[Afnameklanten op LS met piekmeting (%)],MATCH($J22,VDSL3[Verdeelsleutel],0))*$P22,"")</f>
        <v>#DIV/0!</v>
      </c>
      <c r="R22" s="94" t="e">
        <f>IF(ISTEXT($J22),INDEX(VDSL3[Afnameklanten met KM/TT (%)],MATCH($J22,VDSL3[Verdeelsleutel],0))*$P22,"")</f>
        <v>#DIV/0!</v>
      </c>
      <c r="S22" s="95" t="e">
        <f>IF(ISTEXT($H22),INDEX(VDSL1[Injectie (%)],MATCH($H22,VDSL1[Verdeelsleutel],0))*$K22,"")</f>
        <v>#DIV/0!</v>
      </c>
      <c r="T22" s="591"/>
      <c r="U22" s="1"/>
      <c r="V22" s="1"/>
      <c r="AG22" s="60"/>
    </row>
    <row r="23" spans="1:33" ht="15" customHeight="1">
      <c r="A23" s="81" t="s">
        <v>88</v>
      </c>
      <c r="B23" s="82" t="s">
        <v>83</v>
      </c>
      <c r="C23" s="82" t="s">
        <v>23</v>
      </c>
      <c r="D23" s="82" t="s">
        <v>72</v>
      </c>
      <c r="E23" s="82" t="s">
        <v>89</v>
      </c>
      <c r="F23" s="82" t="s">
        <v>91</v>
      </c>
      <c r="G23" s="83" t="s">
        <v>263</v>
      </c>
      <c r="H23" s="181" t="s">
        <v>238</v>
      </c>
      <c r="I23" s="182" t="s">
        <v>315</v>
      </c>
      <c r="J23" s="82" t="s">
        <v>318</v>
      </c>
      <c r="K23" s="901"/>
      <c r="L23" s="95" t="e">
        <f>IF(ISTEXT($H23),INDEX(VDSL1[Afname (%)],MATCH($H23,VDSL1[Verdeelsleutel],0))*$K23,"")</f>
        <v>#VALUE!</v>
      </c>
      <c r="M23" s="93" t="e">
        <f>IF(ISTEXT($I23),INDEX(VDSL2[TRHS (%)],MATCH($I23,VDSL2[Verdeelsleutel],0))*$L23,"")</f>
        <v>#DIV/0!</v>
      </c>
      <c r="N23" s="93" t="e">
        <f>IF(ISTEXT($I23),INDEX(VDSL2[MS (%)],MATCH($I23,VDSL2[Verdeelsleutel],0))*$L23,"")</f>
        <v>#VALUE!</v>
      </c>
      <c r="O23" s="93" t="e">
        <f>IF(ISTEXT($I23),INDEX(VDSL2[TRLS (%)],MATCH($I23,VDSL2[Verdeelsleutel],0))*$L23,"")</f>
        <v>#VALUE!</v>
      </c>
      <c r="P23" s="93" t="e">
        <f>IF(ISTEXT($I23),INDEX(VDSL2[LS (%)],MATCH($I23,VDSL2[Verdeelsleutel],0))*$L23,"")</f>
        <v>#VALUE!</v>
      </c>
      <c r="Q23" s="93" t="e">
        <f>IF(ISTEXT($J23),INDEX(VDSL3[Afnameklanten op LS met piekmeting (%)],MATCH($J23,VDSL3[Verdeelsleutel],0))*$P23,"")</f>
        <v>#DIV/0!</v>
      </c>
      <c r="R23" s="94" t="e">
        <f>IF(ISTEXT($J23),INDEX(VDSL3[Afnameklanten met KM/TT (%)],MATCH($J23,VDSL3[Verdeelsleutel],0))*$P23,"")</f>
        <v>#DIV/0!</v>
      </c>
      <c r="S23" s="95" t="e">
        <f>IF(ISTEXT($H23),INDEX(VDSL1[Injectie (%)],MATCH($H23,VDSL1[Verdeelsleutel],0))*$K23,"")</f>
        <v>#VALUE!</v>
      </c>
      <c r="T23" s="591"/>
      <c r="U23" s="1"/>
      <c r="V23" s="1"/>
      <c r="AG23" s="60"/>
    </row>
    <row r="24" spans="1:33" ht="15" customHeight="1">
      <c r="A24" s="81" t="s">
        <v>88</v>
      </c>
      <c r="B24" s="82" t="s">
        <v>83</v>
      </c>
      <c r="C24" s="82" t="s">
        <v>23</v>
      </c>
      <c r="D24" s="82" t="s">
        <v>72</v>
      </c>
      <c r="E24" s="82" t="s">
        <v>89</v>
      </c>
      <c r="F24" s="82" t="s">
        <v>91</v>
      </c>
      <c r="G24" s="83" t="s">
        <v>262</v>
      </c>
      <c r="H24" s="181" t="s">
        <v>238</v>
      </c>
      <c r="I24" s="182" t="s">
        <v>315</v>
      </c>
      <c r="J24" s="82" t="s">
        <v>318</v>
      </c>
      <c r="K24" s="901"/>
      <c r="L24" s="95" t="e">
        <f>IF(ISTEXT($H24),INDEX(VDSL1[Afname (%)],MATCH($H24,VDSL1[Verdeelsleutel],0))*$K24,"")</f>
        <v>#VALUE!</v>
      </c>
      <c r="M24" s="93" t="e">
        <f>IF(ISTEXT($I24),INDEX(VDSL2[TRHS (%)],MATCH($I24,VDSL2[Verdeelsleutel],0))*$L24,"")</f>
        <v>#DIV/0!</v>
      </c>
      <c r="N24" s="93" t="e">
        <f>IF(ISTEXT($I24),INDEX(VDSL2[MS (%)],MATCH($I24,VDSL2[Verdeelsleutel],0))*$L24,"")</f>
        <v>#VALUE!</v>
      </c>
      <c r="O24" s="93" t="e">
        <f>IF(ISTEXT($I24),INDEX(VDSL2[TRLS (%)],MATCH($I24,VDSL2[Verdeelsleutel],0))*$L24,"")</f>
        <v>#VALUE!</v>
      </c>
      <c r="P24" s="93" t="e">
        <f>IF(ISTEXT($I24),INDEX(VDSL2[LS (%)],MATCH($I24,VDSL2[Verdeelsleutel],0))*$L24,"")</f>
        <v>#VALUE!</v>
      </c>
      <c r="Q24" s="93" t="e">
        <f>IF(ISTEXT($J24),INDEX(VDSL3[Afnameklanten op LS met piekmeting (%)],MATCH($J24,VDSL3[Verdeelsleutel],0))*$P24,"")</f>
        <v>#DIV/0!</v>
      </c>
      <c r="R24" s="94" t="e">
        <f>IF(ISTEXT($J24),INDEX(VDSL3[Afnameklanten met KM/TT (%)],MATCH($J24,VDSL3[Verdeelsleutel],0))*$P24,"")</f>
        <v>#DIV/0!</v>
      </c>
      <c r="S24" s="95" t="e">
        <f>IF(ISTEXT($H24),INDEX(VDSL1[Injectie (%)],MATCH($H24,VDSL1[Verdeelsleutel],0))*$K24,"")</f>
        <v>#VALUE!</v>
      </c>
      <c r="T24" s="591"/>
      <c r="U24" s="1"/>
      <c r="V24" s="1"/>
      <c r="AG24" s="60"/>
    </row>
    <row r="25" spans="1:33" ht="15" customHeight="1">
      <c r="A25" s="81" t="s">
        <v>88</v>
      </c>
      <c r="B25" s="82" t="s">
        <v>83</v>
      </c>
      <c r="C25" s="82" t="s">
        <v>23</v>
      </c>
      <c r="D25" s="82" t="s">
        <v>72</v>
      </c>
      <c r="E25" s="82" t="s">
        <v>89</v>
      </c>
      <c r="F25" s="82" t="s">
        <v>91</v>
      </c>
      <c r="G25" s="83" t="s">
        <v>44</v>
      </c>
      <c r="H25" s="181" t="s">
        <v>238</v>
      </c>
      <c r="I25" s="182" t="s">
        <v>317</v>
      </c>
      <c r="J25" s="82" t="s">
        <v>318</v>
      </c>
      <c r="K25" s="901"/>
      <c r="L25" s="95" t="e">
        <f>IF(ISTEXT($H25),INDEX(VDSL1[Afname (%)],MATCH($H25,VDSL1[Verdeelsleutel],0))*$K25,"")</f>
        <v>#VALUE!</v>
      </c>
      <c r="M25" s="93" t="e">
        <f>IF(ISTEXT($I25),INDEX(VDSL2[TRHS (%)],MATCH($I25,VDSL2[Verdeelsleutel],0))*$L25,"")</f>
        <v>#DIV/0!</v>
      </c>
      <c r="N25" s="93" t="e">
        <f>IF(ISTEXT($I25),INDEX(VDSL2[MS (%)],MATCH($I25,VDSL2[Verdeelsleutel],0))*$L25,"")</f>
        <v>#DIV/0!</v>
      </c>
      <c r="O25" s="93" t="e">
        <f>IF(ISTEXT($I25),INDEX(VDSL2[TRLS (%)],MATCH($I25,VDSL2[Verdeelsleutel],0))*$L25,"")</f>
        <v>#DIV/0!</v>
      </c>
      <c r="P25" s="93" t="e">
        <f>IF(ISTEXT($I25),INDEX(VDSL2[LS (%)],MATCH($I25,VDSL2[Verdeelsleutel],0))*$L25,"")</f>
        <v>#VALUE!</v>
      </c>
      <c r="Q25" s="93" t="e">
        <f>IF(ISTEXT($J25),INDEX(VDSL3[Afnameklanten op LS met piekmeting (%)],MATCH($J25,VDSL3[Verdeelsleutel],0))*$P25,"")</f>
        <v>#DIV/0!</v>
      </c>
      <c r="R25" s="94" t="e">
        <f>IF(ISTEXT($J25),INDEX(VDSL3[Afnameklanten met KM/TT (%)],MATCH($J25,VDSL3[Verdeelsleutel],0))*$P25,"")</f>
        <v>#DIV/0!</v>
      </c>
      <c r="S25" s="95" t="e">
        <f>IF(ISTEXT($H25),INDEX(VDSL1[Injectie (%)],MATCH($H25,VDSL1[Verdeelsleutel],0))*$K25,"")</f>
        <v>#VALUE!</v>
      </c>
      <c r="T25" s="591"/>
      <c r="U25" s="1"/>
      <c r="V25" s="1"/>
      <c r="AG25" s="60"/>
    </row>
    <row r="26" spans="1:33" ht="15" customHeight="1">
      <c r="A26" s="81" t="s">
        <v>88</v>
      </c>
      <c r="B26" s="82" t="s">
        <v>83</v>
      </c>
      <c r="C26" s="82" t="s">
        <v>23</v>
      </c>
      <c r="D26" s="82" t="s">
        <v>72</v>
      </c>
      <c r="E26" s="82" t="s">
        <v>89</v>
      </c>
      <c r="F26" s="82" t="s">
        <v>91</v>
      </c>
      <c r="G26" s="83" t="s">
        <v>43</v>
      </c>
      <c r="H26" s="181" t="s">
        <v>238</v>
      </c>
      <c r="I26" s="182" t="s">
        <v>317</v>
      </c>
      <c r="J26" s="82" t="s">
        <v>318</v>
      </c>
      <c r="K26" s="901"/>
      <c r="L26" s="95" t="e">
        <f>IF(ISTEXT($H26),INDEX(VDSL1[Afname (%)],MATCH($H26,VDSL1[Verdeelsleutel],0))*$K26,"")</f>
        <v>#VALUE!</v>
      </c>
      <c r="M26" s="93" t="e">
        <f>IF(ISTEXT($I26),INDEX(VDSL2[TRHS (%)],MATCH($I26,VDSL2[Verdeelsleutel],0))*$L26,"")</f>
        <v>#DIV/0!</v>
      </c>
      <c r="N26" s="93" t="e">
        <f>IF(ISTEXT($I26),INDEX(VDSL2[MS (%)],MATCH($I26,VDSL2[Verdeelsleutel],0))*$L26,"")</f>
        <v>#DIV/0!</v>
      </c>
      <c r="O26" s="93" t="e">
        <f>IF(ISTEXT($I26),INDEX(VDSL2[TRLS (%)],MATCH($I26,VDSL2[Verdeelsleutel],0))*$L26,"")</f>
        <v>#DIV/0!</v>
      </c>
      <c r="P26" s="93" t="e">
        <f>IF(ISTEXT($I26),INDEX(VDSL2[LS (%)],MATCH($I26,VDSL2[Verdeelsleutel],0))*$L26,"")</f>
        <v>#VALUE!</v>
      </c>
      <c r="Q26" s="93" t="e">
        <f>IF(ISTEXT($J26),INDEX(VDSL3[Afnameklanten op LS met piekmeting (%)],MATCH($J26,VDSL3[Verdeelsleutel],0))*$P26,"")</f>
        <v>#DIV/0!</v>
      </c>
      <c r="R26" s="94" t="e">
        <f>IF(ISTEXT($J26),INDEX(VDSL3[Afnameklanten met KM/TT (%)],MATCH($J26,VDSL3[Verdeelsleutel],0))*$P26,"")</f>
        <v>#DIV/0!</v>
      </c>
      <c r="S26" s="95" t="e">
        <f>IF(ISTEXT($H26),INDEX(VDSL1[Injectie (%)],MATCH($H26,VDSL1[Verdeelsleutel],0))*$K26,"")</f>
        <v>#VALUE!</v>
      </c>
      <c r="T26" s="591"/>
      <c r="U26" s="1"/>
      <c r="V26" s="1"/>
      <c r="AG26" s="60"/>
    </row>
    <row r="27" spans="1:33" ht="15" customHeight="1">
      <c r="A27" s="81" t="s">
        <v>88</v>
      </c>
      <c r="B27" s="82" t="s">
        <v>83</v>
      </c>
      <c r="C27" s="82" t="s">
        <v>23</v>
      </c>
      <c r="D27" s="82" t="s">
        <v>72</v>
      </c>
      <c r="E27" s="82" t="s">
        <v>89</v>
      </c>
      <c r="F27" s="82" t="s">
        <v>91</v>
      </c>
      <c r="G27" s="83" t="s">
        <v>40</v>
      </c>
      <c r="H27" s="181" t="s">
        <v>238</v>
      </c>
      <c r="I27" s="182" t="s">
        <v>315</v>
      </c>
      <c r="J27" s="82" t="s">
        <v>318</v>
      </c>
      <c r="K27" s="901"/>
      <c r="L27" s="95" t="e">
        <f>IF(ISTEXT($H27),INDEX(VDSL1[Afname (%)],MATCH($H27,VDSL1[Verdeelsleutel],0))*$K27,"")</f>
        <v>#VALUE!</v>
      </c>
      <c r="M27" s="93" t="e">
        <f>IF(ISTEXT($I27),INDEX(VDSL2[TRHS (%)],MATCH($I27,VDSL2[Verdeelsleutel],0))*$L27,"")</f>
        <v>#DIV/0!</v>
      </c>
      <c r="N27" s="93" t="e">
        <f>IF(ISTEXT($I27),INDEX(VDSL2[MS (%)],MATCH($I27,VDSL2[Verdeelsleutel],0))*$L27,"")</f>
        <v>#VALUE!</v>
      </c>
      <c r="O27" s="93" t="e">
        <f>IF(ISTEXT($I27),INDEX(VDSL2[TRLS (%)],MATCH($I27,VDSL2[Verdeelsleutel],0))*$L27,"")</f>
        <v>#VALUE!</v>
      </c>
      <c r="P27" s="93" t="e">
        <f>IF(ISTEXT($I27),INDEX(VDSL2[LS (%)],MATCH($I27,VDSL2[Verdeelsleutel],0))*$L27,"")</f>
        <v>#VALUE!</v>
      </c>
      <c r="Q27" s="93" t="e">
        <f>IF(ISTEXT($J27),INDEX(VDSL3[Afnameklanten op LS met piekmeting (%)],MATCH($J27,VDSL3[Verdeelsleutel],0))*$P27,"")</f>
        <v>#DIV/0!</v>
      </c>
      <c r="R27" s="94" t="e">
        <f>IF(ISTEXT($J27),INDEX(VDSL3[Afnameklanten met KM/TT (%)],MATCH($J27,VDSL3[Verdeelsleutel],0))*$P27,"")</f>
        <v>#DIV/0!</v>
      </c>
      <c r="S27" s="95" t="e">
        <f>IF(ISTEXT($H27),INDEX(VDSL1[Injectie (%)],MATCH($H27,VDSL1[Verdeelsleutel],0))*$K27,"")</f>
        <v>#VALUE!</v>
      </c>
      <c r="T27" s="591"/>
      <c r="U27" s="1"/>
      <c r="V27" s="1"/>
      <c r="AG27" s="60"/>
    </row>
    <row r="28" spans="1:33" ht="15" customHeight="1">
      <c r="A28" s="81" t="s">
        <v>88</v>
      </c>
      <c r="B28" s="82" t="s">
        <v>83</v>
      </c>
      <c r="C28" s="82" t="s">
        <v>23</v>
      </c>
      <c r="D28" s="82" t="s">
        <v>72</v>
      </c>
      <c r="E28" s="82" t="s">
        <v>89</v>
      </c>
      <c r="F28" s="82" t="s">
        <v>91</v>
      </c>
      <c r="G28" s="83" t="s">
        <v>39</v>
      </c>
      <c r="H28" s="181" t="s">
        <v>238</v>
      </c>
      <c r="I28" s="182" t="s">
        <v>315</v>
      </c>
      <c r="J28" s="82" t="s">
        <v>318</v>
      </c>
      <c r="K28" s="901"/>
      <c r="L28" s="95" t="e">
        <f>IF(ISTEXT($H28),INDEX(VDSL1[Afname (%)],MATCH($H28,VDSL1[Verdeelsleutel],0))*$K28,"")</f>
        <v>#VALUE!</v>
      </c>
      <c r="M28" s="93" t="e">
        <f>IF(ISTEXT($I28),INDEX(VDSL2[TRHS (%)],MATCH($I28,VDSL2[Verdeelsleutel],0))*$L28,"")</f>
        <v>#DIV/0!</v>
      </c>
      <c r="N28" s="93" t="e">
        <f>IF(ISTEXT($I28),INDEX(VDSL2[MS (%)],MATCH($I28,VDSL2[Verdeelsleutel],0))*$L28,"")</f>
        <v>#VALUE!</v>
      </c>
      <c r="O28" s="93" t="e">
        <f>IF(ISTEXT($I28),INDEX(VDSL2[TRLS (%)],MATCH($I28,VDSL2[Verdeelsleutel],0))*$L28,"")</f>
        <v>#VALUE!</v>
      </c>
      <c r="P28" s="93" t="e">
        <f>IF(ISTEXT($I28),INDEX(VDSL2[LS (%)],MATCH($I28,VDSL2[Verdeelsleutel],0))*$L28,"")</f>
        <v>#VALUE!</v>
      </c>
      <c r="Q28" s="93" t="e">
        <f>IF(ISTEXT($J28),INDEX(VDSL3[Afnameklanten op LS met piekmeting (%)],MATCH($J28,VDSL3[Verdeelsleutel],0))*$P28,"")</f>
        <v>#DIV/0!</v>
      </c>
      <c r="R28" s="94" t="e">
        <f>IF(ISTEXT($J28),INDEX(VDSL3[Afnameklanten met KM/TT (%)],MATCH($J28,VDSL3[Verdeelsleutel],0))*$P28,"")</f>
        <v>#DIV/0!</v>
      </c>
      <c r="S28" s="95" t="e">
        <f>IF(ISTEXT($H28),INDEX(VDSL1[Injectie (%)],MATCH($H28,VDSL1[Verdeelsleutel],0))*$K28,"")</f>
        <v>#VALUE!</v>
      </c>
      <c r="T28" s="591"/>
      <c r="U28" s="1"/>
      <c r="V28" s="1"/>
      <c r="AG28" s="60"/>
    </row>
    <row r="29" spans="1:33" ht="15" customHeight="1">
      <c r="A29" s="81" t="s">
        <v>88</v>
      </c>
      <c r="B29" s="82" t="s">
        <v>83</v>
      </c>
      <c r="C29" s="82" t="s">
        <v>23</v>
      </c>
      <c r="D29" s="82" t="s">
        <v>72</v>
      </c>
      <c r="E29" s="82" t="s">
        <v>89</v>
      </c>
      <c r="F29" s="82" t="s">
        <v>91</v>
      </c>
      <c r="G29" s="83" t="s">
        <v>38</v>
      </c>
      <c r="H29" s="181" t="s">
        <v>238</v>
      </c>
      <c r="I29" s="182" t="s">
        <v>314</v>
      </c>
      <c r="J29" s="82" t="s">
        <v>318</v>
      </c>
      <c r="K29" s="901"/>
      <c r="L29" s="95" t="e">
        <f>IF(ISTEXT($H29),INDEX(VDSL1[Afname (%)],MATCH($H29,VDSL1[Verdeelsleutel],0))*$K29,"")</f>
        <v>#VALUE!</v>
      </c>
      <c r="M29" s="93" t="e">
        <f>IF(ISTEXT($I29),INDEX(VDSL2[TRHS (%)],MATCH($I29,VDSL2[Verdeelsleutel],0))*$L29,"")</f>
        <v>#VALUE!</v>
      </c>
      <c r="N29" s="93" t="e">
        <f>IF(ISTEXT($I29),INDEX(VDSL2[MS (%)],MATCH($I29,VDSL2[Verdeelsleutel],0))*$L29,"")</f>
        <v>#VALUE!</v>
      </c>
      <c r="O29" s="93" t="e">
        <f>IF(ISTEXT($I29),INDEX(VDSL2[TRLS (%)],MATCH($I29,VDSL2[Verdeelsleutel],0))*$L29,"")</f>
        <v>#VALUE!</v>
      </c>
      <c r="P29" s="93" t="e">
        <f>IF(ISTEXT($I29),INDEX(VDSL2[LS (%)],MATCH($I29,VDSL2[Verdeelsleutel],0))*$L29,"")</f>
        <v>#VALUE!</v>
      </c>
      <c r="Q29" s="93" t="e">
        <f>IF(ISTEXT($J29),INDEX(VDSL3[Afnameklanten op LS met piekmeting (%)],MATCH($J29,VDSL3[Verdeelsleutel],0))*$P29,"")</f>
        <v>#DIV/0!</v>
      </c>
      <c r="R29" s="94" t="e">
        <f>IF(ISTEXT($J29),INDEX(VDSL3[Afnameklanten met KM/TT (%)],MATCH($J29,VDSL3[Verdeelsleutel],0))*$P29,"")</f>
        <v>#DIV/0!</v>
      </c>
      <c r="S29" s="95" t="e">
        <f>IF(ISTEXT($H29),INDEX(VDSL1[Injectie (%)],MATCH($H29,VDSL1[Verdeelsleutel],0))*$K29,"")</f>
        <v>#VALUE!</v>
      </c>
      <c r="T29" s="591"/>
      <c r="U29" s="1"/>
      <c r="V29" s="1"/>
      <c r="AG29" s="60"/>
    </row>
    <row r="30" spans="1:33" ht="15" customHeight="1">
      <c r="A30" s="81" t="s">
        <v>88</v>
      </c>
      <c r="B30" s="82" t="s">
        <v>83</v>
      </c>
      <c r="C30" s="82" t="s">
        <v>23</v>
      </c>
      <c r="D30" s="82" t="s">
        <v>72</v>
      </c>
      <c r="E30" s="82" t="s">
        <v>89</v>
      </c>
      <c r="F30" s="82" t="s">
        <v>91</v>
      </c>
      <c r="G30" s="83" t="s">
        <v>37</v>
      </c>
      <c r="H30" s="181" t="s">
        <v>238</v>
      </c>
      <c r="I30" s="182" t="s">
        <v>314</v>
      </c>
      <c r="J30" s="82" t="s">
        <v>318</v>
      </c>
      <c r="K30" s="901"/>
      <c r="L30" s="95" t="e">
        <f>IF(ISTEXT($H30),INDEX(VDSL1[Afname (%)],MATCH($H30,VDSL1[Verdeelsleutel],0))*$K30,"")</f>
        <v>#VALUE!</v>
      </c>
      <c r="M30" s="93" t="e">
        <f>IF(ISTEXT($I30),INDEX(VDSL2[TRHS (%)],MATCH($I30,VDSL2[Verdeelsleutel],0))*$L30,"")</f>
        <v>#VALUE!</v>
      </c>
      <c r="N30" s="93" t="e">
        <f>IF(ISTEXT($I30),INDEX(VDSL2[MS (%)],MATCH($I30,VDSL2[Verdeelsleutel],0))*$L30,"")</f>
        <v>#VALUE!</v>
      </c>
      <c r="O30" s="93" t="e">
        <f>IF(ISTEXT($I30),INDEX(VDSL2[TRLS (%)],MATCH($I30,VDSL2[Verdeelsleutel],0))*$L30,"")</f>
        <v>#VALUE!</v>
      </c>
      <c r="P30" s="93" t="e">
        <f>IF(ISTEXT($I30),INDEX(VDSL2[LS (%)],MATCH($I30,VDSL2[Verdeelsleutel],0))*$L30,"")</f>
        <v>#VALUE!</v>
      </c>
      <c r="Q30" s="93" t="e">
        <f>IF(ISTEXT($J30),INDEX(VDSL3[Afnameklanten op LS met piekmeting (%)],MATCH($J30,VDSL3[Verdeelsleutel],0))*$P30,"")</f>
        <v>#DIV/0!</v>
      </c>
      <c r="R30" s="94" t="e">
        <f>IF(ISTEXT($J30),INDEX(VDSL3[Afnameklanten met KM/TT (%)],MATCH($J30,VDSL3[Verdeelsleutel],0))*$P30,"")</f>
        <v>#DIV/0!</v>
      </c>
      <c r="S30" s="95" t="e">
        <f>IF(ISTEXT($H30),INDEX(VDSL1[Injectie (%)],MATCH($H30,VDSL1[Verdeelsleutel],0))*$K30,"")</f>
        <v>#VALUE!</v>
      </c>
      <c r="T30" s="591"/>
      <c r="U30" s="1"/>
      <c r="V30" s="1"/>
      <c r="AG30" s="60"/>
    </row>
    <row r="31" spans="1:33" ht="15" customHeight="1">
      <c r="A31" s="81" t="s">
        <v>88</v>
      </c>
      <c r="B31" s="82" t="s">
        <v>83</v>
      </c>
      <c r="C31" s="82" t="s">
        <v>23</v>
      </c>
      <c r="D31" s="82" t="s">
        <v>72</v>
      </c>
      <c r="E31" s="82" t="s">
        <v>89</v>
      </c>
      <c r="F31" s="82" t="s">
        <v>91</v>
      </c>
      <c r="G31" s="83" t="s">
        <v>42</v>
      </c>
      <c r="H31" s="181" t="s">
        <v>238</v>
      </c>
      <c r="I31" s="182" t="s">
        <v>316</v>
      </c>
      <c r="J31" s="82" t="s">
        <v>318</v>
      </c>
      <c r="K31" s="901"/>
      <c r="L31" s="95" t="e">
        <f>IF(ISTEXT($H31),INDEX(VDSL1[Afname (%)],MATCH($H31,VDSL1[Verdeelsleutel],0))*$K31,"")</f>
        <v>#VALUE!</v>
      </c>
      <c r="M31" s="93" t="e">
        <f>IF(ISTEXT($I31),INDEX(VDSL2[TRHS (%)],MATCH($I31,VDSL2[Verdeelsleutel],0))*$L31,"")</f>
        <v>#DIV/0!</v>
      </c>
      <c r="N31" s="93" t="e">
        <f>IF(ISTEXT($I31),INDEX(VDSL2[MS (%)],MATCH($I31,VDSL2[Verdeelsleutel],0))*$L31,"")</f>
        <v>#DIV/0!</v>
      </c>
      <c r="O31" s="93" t="e">
        <f>IF(ISTEXT($I31),INDEX(VDSL2[TRLS (%)],MATCH($I31,VDSL2[Verdeelsleutel],0))*$L31,"")</f>
        <v>#VALUE!</v>
      </c>
      <c r="P31" s="93" t="e">
        <f>IF(ISTEXT($I31),INDEX(VDSL2[LS (%)],MATCH($I31,VDSL2[Verdeelsleutel],0))*$L31,"")</f>
        <v>#VALUE!</v>
      </c>
      <c r="Q31" s="93" t="e">
        <f>IF(ISTEXT($J31),INDEX(VDSL3[Afnameklanten op LS met piekmeting (%)],MATCH($J31,VDSL3[Verdeelsleutel],0))*$P31,"")</f>
        <v>#DIV/0!</v>
      </c>
      <c r="R31" s="94" t="e">
        <f>IF(ISTEXT($J31),INDEX(VDSL3[Afnameklanten met KM/TT (%)],MATCH($J31,VDSL3[Verdeelsleutel],0))*$P31,"")</f>
        <v>#DIV/0!</v>
      </c>
      <c r="S31" s="95" t="e">
        <f>IF(ISTEXT($H31),INDEX(VDSL1[Injectie (%)],MATCH($H31,VDSL1[Verdeelsleutel],0))*$K31,"")</f>
        <v>#VALUE!</v>
      </c>
      <c r="T31" s="591"/>
      <c r="U31" s="1"/>
      <c r="V31" s="1"/>
      <c r="AG31" s="60"/>
    </row>
    <row r="32" spans="1:33" ht="15" customHeight="1">
      <c r="A32" s="81" t="s">
        <v>88</v>
      </c>
      <c r="B32" s="82" t="s">
        <v>83</v>
      </c>
      <c r="C32" s="82" t="s">
        <v>23</v>
      </c>
      <c r="D32" s="82" t="s">
        <v>72</v>
      </c>
      <c r="E32" s="82" t="s">
        <v>89</v>
      </c>
      <c r="F32" s="82" t="s">
        <v>91</v>
      </c>
      <c r="G32" s="83" t="s">
        <v>41</v>
      </c>
      <c r="H32" s="181" t="s">
        <v>238</v>
      </c>
      <c r="I32" s="182" t="s">
        <v>316</v>
      </c>
      <c r="J32" s="82" t="s">
        <v>318</v>
      </c>
      <c r="K32" s="901"/>
      <c r="L32" s="95" t="e">
        <f>IF(ISTEXT($H32),INDEX(VDSL1[Afname (%)],MATCH($H32,VDSL1[Verdeelsleutel],0))*$K32,"")</f>
        <v>#VALUE!</v>
      </c>
      <c r="M32" s="93" t="e">
        <f>IF(ISTEXT($I32),INDEX(VDSL2[TRHS (%)],MATCH($I32,VDSL2[Verdeelsleutel],0))*$L32,"")</f>
        <v>#DIV/0!</v>
      </c>
      <c r="N32" s="93" t="e">
        <f>IF(ISTEXT($I32),INDEX(VDSL2[MS (%)],MATCH($I32,VDSL2[Verdeelsleutel],0))*$L32,"")</f>
        <v>#DIV/0!</v>
      </c>
      <c r="O32" s="93" t="e">
        <f>IF(ISTEXT($I32),INDEX(VDSL2[TRLS (%)],MATCH($I32,VDSL2[Verdeelsleutel],0))*$L32,"")</f>
        <v>#VALUE!</v>
      </c>
      <c r="P32" s="93" t="e">
        <f>IF(ISTEXT($I32),INDEX(VDSL2[LS (%)],MATCH($I32,VDSL2[Verdeelsleutel],0))*$L32,"")</f>
        <v>#VALUE!</v>
      </c>
      <c r="Q32" s="93" t="e">
        <f>IF(ISTEXT($J32),INDEX(VDSL3[Afnameklanten op LS met piekmeting (%)],MATCH($J32,VDSL3[Verdeelsleutel],0))*$P32,"")</f>
        <v>#DIV/0!</v>
      </c>
      <c r="R32" s="94" t="e">
        <f>IF(ISTEXT($J32),INDEX(VDSL3[Afnameklanten met KM/TT (%)],MATCH($J32,VDSL3[Verdeelsleutel],0))*$P32,"")</f>
        <v>#DIV/0!</v>
      </c>
      <c r="S32" s="95" t="e">
        <f>IF(ISTEXT($H32),INDEX(VDSL1[Injectie (%)],MATCH($H32,VDSL1[Verdeelsleutel],0))*$K32,"")</f>
        <v>#VALUE!</v>
      </c>
      <c r="T32" s="591"/>
      <c r="U32" s="1"/>
      <c r="V32" s="1"/>
      <c r="AG32" s="60"/>
    </row>
    <row r="33" spans="1:33" ht="15" customHeight="1">
      <c r="A33" s="81" t="s">
        <v>88</v>
      </c>
      <c r="B33" s="82" t="s">
        <v>83</v>
      </c>
      <c r="C33" s="82" t="s">
        <v>23</v>
      </c>
      <c r="D33" s="82" t="s">
        <v>72</v>
      </c>
      <c r="E33" s="82" t="s">
        <v>89</v>
      </c>
      <c r="F33" s="82" t="s">
        <v>92</v>
      </c>
      <c r="G33" s="379" t="s">
        <v>51</v>
      </c>
      <c r="H33" s="181" t="s">
        <v>239</v>
      </c>
      <c r="I33" s="182" t="s">
        <v>15</v>
      </c>
      <c r="J33" s="82" t="s">
        <v>14</v>
      </c>
      <c r="K33" s="901"/>
      <c r="L33" s="95">
        <f>IF(ISTEXT($H33),INDEX(VDSL1[Afname (%)],MATCH($H33,VDSL1[Verdeelsleutel],0))*$K33,"")</f>
        <v>0</v>
      </c>
      <c r="M33" s="93" t="e">
        <f>IF(ISTEXT($I33),INDEX(VDSL2[TRHS (%)],MATCH($I33,VDSL2[Verdeelsleutel],0))*$L33,"")</f>
        <v>#VALUE!</v>
      </c>
      <c r="N33" s="93" t="e">
        <f>IF(ISTEXT($I33),INDEX(VDSL2[MS (%)],MATCH($I33,VDSL2[Verdeelsleutel],0))*$L33,"")</f>
        <v>#VALUE!</v>
      </c>
      <c r="O33" s="93" t="e">
        <f>IF(ISTEXT($I33),INDEX(VDSL2[TRLS (%)],MATCH($I33,VDSL2[Verdeelsleutel],0))*$L33,"")</f>
        <v>#VALUE!</v>
      </c>
      <c r="P33" s="93" t="e">
        <f>IF(ISTEXT($I33),INDEX(VDSL2[LS (%)],MATCH($I33,VDSL2[Verdeelsleutel],0))*$L33,"")</f>
        <v>#VALUE!</v>
      </c>
      <c r="Q33" s="93" t="e">
        <f>IF(ISTEXT($J33),INDEX(VDSL3[Afnameklanten op LS met piekmeting (%)],MATCH($J33,VDSL3[Verdeelsleutel],0))*$P33,"")</f>
        <v>#DIV/0!</v>
      </c>
      <c r="R33" s="94" t="e">
        <f>IF(ISTEXT($J33),INDEX(VDSL3[Afnameklanten met KM/TT (%)],MATCH($J33,VDSL3[Verdeelsleutel],0))*$P33,"")</f>
        <v>#DIV/0!</v>
      </c>
      <c r="S33" s="95">
        <f>IF(ISTEXT($H33),INDEX(VDSL1[Injectie (%)],MATCH($H33,VDSL1[Verdeelsleutel],0))*$K33,"")</f>
        <v>0</v>
      </c>
      <c r="T33" s="591"/>
      <c r="U33" s="1"/>
      <c r="V33" s="1"/>
      <c r="AG33" s="60"/>
    </row>
    <row r="34" spans="1:33" ht="15" customHeight="1">
      <c r="A34" s="81" t="s">
        <v>52</v>
      </c>
      <c r="B34" s="82" t="s">
        <v>83</v>
      </c>
      <c r="C34" s="82" t="s">
        <v>10</v>
      </c>
      <c r="D34" s="82" t="s">
        <v>72</v>
      </c>
      <c r="E34" s="82" t="s">
        <v>90</v>
      </c>
      <c r="F34" s="82" t="s">
        <v>91</v>
      </c>
      <c r="G34" s="83" t="s">
        <v>59</v>
      </c>
      <c r="H34" s="181" t="s">
        <v>239</v>
      </c>
      <c r="I34" s="182" t="s">
        <v>314</v>
      </c>
      <c r="J34" s="82" t="s">
        <v>318</v>
      </c>
      <c r="K34" s="901"/>
      <c r="L34" s="95">
        <f>IF(ISTEXT($H34),INDEX(VDSL1[Afname (%)],MATCH($H34,VDSL1[Verdeelsleutel],0))*$K34,"")</f>
        <v>0</v>
      </c>
      <c r="M34" s="93" t="e">
        <f>IF(ISTEXT($I34),INDEX(VDSL2[TRHS (%)],MATCH($I34,VDSL2[Verdeelsleutel],0))*$L34,"")</f>
        <v>#VALUE!</v>
      </c>
      <c r="N34" s="93" t="e">
        <f>IF(ISTEXT($I34),INDEX(VDSL2[MS (%)],MATCH($I34,VDSL2[Verdeelsleutel],0))*$L34,"")</f>
        <v>#VALUE!</v>
      </c>
      <c r="O34" s="93" t="e">
        <f>IF(ISTEXT($I34),INDEX(VDSL2[TRLS (%)],MATCH($I34,VDSL2[Verdeelsleutel],0))*$L34,"")</f>
        <v>#VALUE!</v>
      </c>
      <c r="P34" s="93" t="e">
        <f>IF(ISTEXT($I34),INDEX(VDSL2[LS (%)],MATCH($I34,VDSL2[Verdeelsleutel],0))*$L34,"")</f>
        <v>#VALUE!</v>
      </c>
      <c r="Q34" s="93" t="e">
        <f>IF(ISTEXT($J34),INDEX(VDSL3[Afnameklanten op LS met piekmeting (%)],MATCH($J34,VDSL3[Verdeelsleutel],0))*$P34,"")</f>
        <v>#DIV/0!</v>
      </c>
      <c r="R34" s="94" t="e">
        <f>IF(ISTEXT($J34),INDEX(VDSL3[Afnameklanten met KM/TT (%)],MATCH($J34,VDSL3[Verdeelsleutel],0))*$P34,"")</f>
        <v>#DIV/0!</v>
      </c>
      <c r="S34" s="95">
        <f>IF(ISTEXT($H34),INDEX(VDSL1[Injectie (%)],MATCH($H34,VDSL1[Verdeelsleutel],0))*$K34,"")</f>
        <v>0</v>
      </c>
      <c r="T34" s="591"/>
      <c r="U34" s="1"/>
      <c r="V34" s="1"/>
      <c r="AG34" s="60"/>
    </row>
    <row r="35" spans="1:33" ht="15" customHeight="1">
      <c r="A35" s="81" t="s">
        <v>52</v>
      </c>
      <c r="B35" s="82" t="s">
        <v>83</v>
      </c>
      <c r="C35" s="82" t="s">
        <v>10</v>
      </c>
      <c r="D35" s="82" t="s">
        <v>72</v>
      </c>
      <c r="E35" s="82" t="s">
        <v>90</v>
      </c>
      <c r="F35" s="82" t="s">
        <v>91</v>
      </c>
      <c r="G35" s="83" t="s">
        <v>557</v>
      </c>
      <c r="H35" s="181" t="s">
        <v>239</v>
      </c>
      <c r="I35" s="182" t="s">
        <v>559</v>
      </c>
      <c r="J35" s="82" t="s">
        <v>318</v>
      </c>
      <c r="K35" s="901"/>
      <c r="L35" s="95">
        <f>IF(ISTEXT($H35),INDEX(VDSL1[Afname (%)],MATCH($H35,VDSL1[Verdeelsleutel],0))*$K35,"")</f>
        <v>0</v>
      </c>
      <c r="M35" s="93" t="e">
        <f>IF(ISTEXT($I35),INDEX(VDSL2[TRHS (%)],MATCH($I35,VDSL2[Verdeelsleutel],0))*$L35,"")</f>
        <v>#VALUE!</v>
      </c>
      <c r="N35" s="93" t="e">
        <f>IF(ISTEXT($I35),INDEX(VDSL2[MS (%)],MATCH($I35,VDSL2[Verdeelsleutel],0))*$L35,"")</f>
        <v>#VALUE!</v>
      </c>
      <c r="O35" s="93" t="e">
        <f>IF(ISTEXT($I35),INDEX(VDSL2[TRLS (%)],MATCH($I35,VDSL2[Verdeelsleutel],0))*$L35,"")</f>
        <v>#VALUE!</v>
      </c>
      <c r="P35" s="93" t="e">
        <f>IF(ISTEXT($I35),INDEX(VDSL2[LS (%)],MATCH($I35,VDSL2[Verdeelsleutel],0))*$L35,"")</f>
        <v>#VALUE!</v>
      </c>
      <c r="Q35" s="93" t="e">
        <f>IF(ISTEXT($J35),INDEX(VDSL3[Afnameklanten op LS met piekmeting (%)],MATCH($J35,VDSL3[Verdeelsleutel],0))*$P35,"")</f>
        <v>#DIV/0!</v>
      </c>
      <c r="R35" s="94" t="e">
        <f>IF(ISTEXT($J35),INDEX(VDSL3[Afnameklanten met KM/TT (%)],MATCH($J35,VDSL3[Verdeelsleutel],0))*$P35,"")</f>
        <v>#DIV/0!</v>
      </c>
      <c r="S35" s="95">
        <f>IF(ISTEXT($H35),INDEX(VDSL1[Injectie (%)],MATCH($H35,VDSL1[Verdeelsleutel],0))*$K35,"")</f>
        <v>0</v>
      </c>
      <c r="T35" s="591"/>
      <c r="U35" s="1"/>
      <c r="V35" s="1"/>
      <c r="AG35" s="60"/>
    </row>
    <row r="36" spans="1:33" ht="15" customHeight="1">
      <c r="A36" s="81" t="s">
        <v>52</v>
      </c>
      <c r="B36" s="82" t="s">
        <v>83</v>
      </c>
      <c r="C36" s="82" t="s">
        <v>10</v>
      </c>
      <c r="D36" s="82" t="s">
        <v>72</v>
      </c>
      <c r="E36" s="82" t="s">
        <v>90</v>
      </c>
      <c r="F36" s="82" t="s">
        <v>91</v>
      </c>
      <c r="G36" s="83" t="s">
        <v>54</v>
      </c>
      <c r="H36" s="181" t="s">
        <v>239</v>
      </c>
      <c r="I36" s="182" t="s">
        <v>314</v>
      </c>
      <c r="J36" s="82" t="s">
        <v>318</v>
      </c>
      <c r="K36" s="901"/>
      <c r="L36" s="95">
        <f>IF(ISTEXT($H36),INDEX(VDSL1[Afname (%)],MATCH($H36,VDSL1[Verdeelsleutel],0))*$K36,"")</f>
        <v>0</v>
      </c>
      <c r="M36" s="93" t="e">
        <f>IF(ISTEXT($I36),INDEX(VDSL2[TRHS (%)],MATCH($I36,VDSL2[Verdeelsleutel],0))*$L36,"")</f>
        <v>#VALUE!</v>
      </c>
      <c r="N36" s="93" t="e">
        <f>IF(ISTEXT($I36),INDEX(VDSL2[MS (%)],MATCH($I36,VDSL2[Verdeelsleutel],0))*$L36,"")</f>
        <v>#VALUE!</v>
      </c>
      <c r="O36" s="93" t="e">
        <f>IF(ISTEXT($I36),INDEX(VDSL2[TRLS (%)],MATCH($I36,VDSL2[Verdeelsleutel],0))*$L36,"")</f>
        <v>#VALUE!</v>
      </c>
      <c r="P36" s="93" t="e">
        <f>IF(ISTEXT($I36),INDEX(VDSL2[LS (%)],MATCH($I36,VDSL2[Verdeelsleutel],0))*$L36,"")</f>
        <v>#VALUE!</v>
      </c>
      <c r="Q36" s="93" t="e">
        <f>IF(ISTEXT($J36),INDEX(VDSL3[Afnameklanten op LS met piekmeting (%)],MATCH($J36,VDSL3[Verdeelsleutel],0))*$P36,"")</f>
        <v>#DIV/0!</v>
      </c>
      <c r="R36" s="94" t="e">
        <f>IF(ISTEXT($J36),INDEX(VDSL3[Afnameklanten met KM/TT (%)],MATCH($J36,VDSL3[Verdeelsleutel],0))*$P36,"")</f>
        <v>#DIV/0!</v>
      </c>
      <c r="S36" s="95">
        <f>IF(ISTEXT($H36),INDEX(VDSL1[Injectie (%)],MATCH($H36,VDSL1[Verdeelsleutel],0))*$K36,"")</f>
        <v>0</v>
      </c>
      <c r="T36" s="591"/>
      <c r="U36" s="1"/>
      <c r="V36" s="1"/>
      <c r="AG36" s="60"/>
    </row>
    <row r="37" spans="1:33" ht="15" customHeight="1">
      <c r="A37" s="81" t="s">
        <v>52</v>
      </c>
      <c r="B37" s="82" t="s">
        <v>83</v>
      </c>
      <c r="C37" s="82" t="s">
        <v>10</v>
      </c>
      <c r="D37" s="82" t="s">
        <v>72</v>
      </c>
      <c r="E37" s="82" t="s">
        <v>90</v>
      </c>
      <c r="F37" s="82" t="s">
        <v>91</v>
      </c>
      <c r="G37" s="83" t="s">
        <v>53</v>
      </c>
      <c r="H37" s="181" t="s">
        <v>239</v>
      </c>
      <c r="I37" s="182" t="s">
        <v>314</v>
      </c>
      <c r="J37" s="82" t="s">
        <v>318</v>
      </c>
      <c r="K37" s="901"/>
      <c r="L37" s="95">
        <f>IF(ISTEXT($H37),INDEX(VDSL1[Afname (%)],MATCH($H37,VDSL1[Verdeelsleutel],0))*$K37,"")</f>
        <v>0</v>
      </c>
      <c r="M37" s="93" t="e">
        <f>IF(ISTEXT($I37),INDEX(VDSL2[TRHS (%)],MATCH($I37,VDSL2[Verdeelsleutel],0))*$L37,"")</f>
        <v>#VALUE!</v>
      </c>
      <c r="N37" s="93" t="e">
        <f>IF(ISTEXT($I37),INDEX(VDSL2[MS (%)],MATCH($I37,VDSL2[Verdeelsleutel],0))*$L37,"")</f>
        <v>#VALUE!</v>
      </c>
      <c r="O37" s="93" t="e">
        <f>IF(ISTEXT($I37),INDEX(VDSL2[TRLS (%)],MATCH($I37,VDSL2[Verdeelsleutel],0))*$L37,"")</f>
        <v>#VALUE!</v>
      </c>
      <c r="P37" s="93" t="e">
        <f>IF(ISTEXT($I37),INDEX(VDSL2[LS (%)],MATCH($I37,VDSL2[Verdeelsleutel],0))*$L37,"")</f>
        <v>#VALUE!</v>
      </c>
      <c r="Q37" s="93" t="e">
        <f>IF(ISTEXT($J37),INDEX(VDSL3[Afnameklanten op LS met piekmeting (%)],MATCH($J37,VDSL3[Verdeelsleutel],0))*$P37,"")</f>
        <v>#DIV/0!</v>
      </c>
      <c r="R37" s="94" t="e">
        <f>IF(ISTEXT($J37),INDEX(VDSL3[Afnameklanten met KM/TT (%)],MATCH($J37,VDSL3[Verdeelsleutel],0))*$P37,"")</f>
        <v>#DIV/0!</v>
      </c>
      <c r="S37" s="95">
        <f>IF(ISTEXT($H37),INDEX(VDSL1[Injectie (%)],MATCH($H37,VDSL1[Verdeelsleutel],0))*$K37,"")</f>
        <v>0</v>
      </c>
      <c r="T37" s="591"/>
      <c r="U37" s="1"/>
      <c r="V37" s="1"/>
      <c r="AG37" s="60"/>
    </row>
    <row r="38" spans="1:33" ht="15" customHeight="1">
      <c r="A38" s="81" t="s">
        <v>52</v>
      </c>
      <c r="B38" s="82" t="s">
        <v>83</v>
      </c>
      <c r="C38" s="82" t="s">
        <v>10</v>
      </c>
      <c r="D38" s="82" t="s">
        <v>72</v>
      </c>
      <c r="E38" s="82" t="s">
        <v>90</v>
      </c>
      <c r="F38" s="82" t="s">
        <v>91</v>
      </c>
      <c r="G38" s="83" t="s">
        <v>55</v>
      </c>
      <c r="H38" s="181" t="s">
        <v>239</v>
      </c>
      <c r="I38" s="182" t="s">
        <v>314</v>
      </c>
      <c r="J38" s="82" t="s">
        <v>318</v>
      </c>
      <c r="K38" s="901"/>
      <c r="L38" s="95">
        <f>IF(ISTEXT($H38),INDEX(VDSL1[Afname (%)],MATCH($H38,VDSL1[Verdeelsleutel],0))*$K38,"")</f>
        <v>0</v>
      </c>
      <c r="M38" s="93" t="e">
        <f>IF(ISTEXT($I38),INDEX(VDSL2[TRHS (%)],MATCH($I38,VDSL2[Verdeelsleutel],0))*$L38,"")</f>
        <v>#VALUE!</v>
      </c>
      <c r="N38" s="93" t="e">
        <f>IF(ISTEXT($I38),INDEX(VDSL2[MS (%)],MATCH($I38,VDSL2[Verdeelsleutel],0))*$L38,"")</f>
        <v>#VALUE!</v>
      </c>
      <c r="O38" s="93" t="e">
        <f>IF(ISTEXT($I38),INDEX(VDSL2[TRLS (%)],MATCH($I38,VDSL2[Verdeelsleutel],0))*$L38,"")</f>
        <v>#VALUE!</v>
      </c>
      <c r="P38" s="93" t="e">
        <f>IF(ISTEXT($I38),INDEX(VDSL2[LS (%)],MATCH($I38,VDSL2[Verdeelsleutel],0))*$L38,"")</f>
        <v>#VALUE!</v>
      </c>
      <c r="Q38" s="93" t="e">
        <f>IF(ISTEXT($J38),INDEX(VDSL3[Afnameklanten op LS met piekmeting (%)],MATCH($J38,VDSL3[Verdeelsleutel],0))*$P38,"")</f>
        <v>#DIV/0!</v>
      </c>
      <c r="R38" s="94" t="e">
        <f>IF(ISTEXT($J38),INDEX(VDSL3[Afnameklanten met KM/TT (%)],MATCH($J38,VDSL3[Verdeelsleutel],0))*$P38,"")</f>
        <v>#DIV/0!</v>
      </c>
      <c r="S38" s="95">
        <f>IF(ISTEXT($H38),INDEX(VDSL1[Injectie (%)],MATCH($H38,VDSL1[Verdeelsleutel],0))*$K38,"")</f>
        <v>0</v>
      </c>
      <c r="T38" s="591"/>
      <c r="U38" s="1"/>
      <c r="V38" s="1"/>
      <c r="AG38" s="60"/>
    </row>
    <row r="39" spans="1:33" ht="15" customHeight="1">
      <c r="A39" s="81" t="s">
        <v>88</v>
      </c>
      <c r="B39" s="82" t="s">
        <v>83</v>
      </c>
      <c r="C39" s="82" t="s">
        <v>23</v>
      </c>
      <c r="D39" s="82" t="s">
        <v>72</v>
      </c>
      <c r="E39" s="82" t="s">
        <v>90</v>
      </c>
      <c r="F39" s="82" t="s">
        <v>92</v>
      </c>
      <c r="G39" s="83" t="s">
        <v>168</v>
      </c>
      <c r="H39" s="181" t="s">
        <v>239</v>
      </c>
      <c r="I39" s="182" t="s">
        <v>158</v>
      </c>
      <c r="J39" s="82" t="s">
        <v>14</v>
      </c>
      <c r="K39" s="901"/>
      <c r="L39" s="95">
        <f>IF(ISTEXT($H39),INDEX(VDSL1[Afname (%)],MATCH($H39,VDSL1[Verdeelsleutel],0))*$K39,"")</f>
        <v>0</v>
      </c>
      <c r="M39" s="93" t="e">
        <f>IF(ISTEXT($I39),INDEX(VDSL2[TRHS (%)],MATCH($I39,VDSL2[Verdeelsleutel],0))*$L39,"")</f>
        <v>#DIV/0!</v>
      </c>
      <c r="N39" s="93" t="e">
        <f>IF(ISTEXT($I39),INDEX(VDSL2[MS (%)],MATCH($I39,VDSL2[Verdeelsleutel],0))*$L39,"")</f>
        <v>#DIV/0!</v>
      </c>
      <c r="O39" s="93" t="e">
        <f>IF(ISTEXT($I39),INDEX(VDSL2[TRLS (%)],MATCH($I39,VDSL2[Verdeelsleutel],0))*$L39,"")</f>
        <v>#DIV/0!</v>
      </c>
      <c r="P39" s="93" t="e">
        <f>IF(ISTEXT($I39),INDEX(VDSL2[LS (%)],MATCH($I39,VDSL2[Verdeelsleutel],0))*$L39,"")</f>
        <v>#DIV/0!</v>
      </c>
      <c r="Q39" s="93" t="e">
        <f>IF(ISTEXT($J39),INDEX(VDSL3[Afnameklanten op LS met piekmeting (%)],MATCH($J39,VDSL3[Verdeelsleutel],0))*$P39,"")</f>
        <v>#DIV/0!</v>
      </c>
      <c r="R39" s="94" t="e">
        <f>IF(ISTEXT($J39),INDEX(VDSL3[Afnameklanten met KM/TT (%)],MATCH($J39,VDSL3[Verdeelsleutel],0))*$P39,"")</f>
        <v>#DIV/0!</v>
      </c>
      <c r="S39" s="95">
        <f>IF(ISTEXT($H39),INDEX(VDSL1[Injectie (%)],MATCH($H39,VDSL1[Verdeelsleutel],0))*$K39,"")</f>
        <v>0</v>
      </c>
      <c r="T39" s="591"/>
      <c r="U39" s="1"/>
      <c r="V39" s="1"/>
      <c r="AG39" s="60"/>
    </row>
    <row r="40" spans="1:33" ht="15" customHeight="1">
      <c r="A40" s="81" t="s">
        <v>88</v>
      </c>
      <c r="B40" s="82" t="s">
        <v>83</v>
      </c>
      <c r="C40" s="82" t="s">
        <v>23</v>
      </c>
      <c r="D40" s="82" t="s">
        <v>72</v>
      </c>
      <c r="E40" s="82" t="s">
        <v>90</v>
      </c>
      <c r="F40" s="82" t="s">
        <v>92</v>
      </c>
      <c r="G40" s="83" t="s">
        <v>48</v>
      </c>
      <c r="H40" s="181" t="s">
        <v>239</v>
      </c>
      <c r="I40" s="182" t="s">
        <v>158</v>
      </c>
      <c r="J40" s="82" t="s">
        <v>14</v>
      </c>
      <c r="K40" s="901"/>
      <c r="L40" s="95">
        <f>IF(ISTEXT($H40),INDEX(VDSL1[Afname (%)],MATCH($H40,VDSL1[Verdeelsleutel],0))*$K40,"")</f>
        <v>0</v>
      </c>
      <c r="M40" s="93" t="e">
        <f>IF(ISTEXT($I40),INDEX(VDSL2[TRHS (%)],MATCH($I40,VDSL2[Verdeelsleutel],0))*$L40,"")</f>
        <v>#DIV/0!</v>
      </c>
      <c r="N40" s="93" t="e">
        <f>IF(ISTEXT($I40),INDEX(VDSL2[MS (%)],MATCH($I40,VDSL2[Verdeelsleutel],0))*$L40,"")</f>
        <v>#DIV/0!</v>
      </c>
      <c r="O40" s="93" t="e">
        <f>IF(ISTEXT($I40),INDEX(VDSL2[TRLS (%)],MATCH($I40,VDSL2[Verdeelsleutel],0))*$L40,"")</f>
        <v>#DIV/0!</v>
      </c>
      <c r="P40" s="93" t="e">
        <f>IF(ISTEXT($I40),INDEX(VDSL2[LS (%)],MATCH($I40,VDSL2[Verdeelsleutel],0))*$L40,"")</f>
        <v>#DIV/0!</v>
      </c>
      <c r="Q40" s="93" t="e">
        <f>IF(ISTEXT($J40),INDEX(VDSL3[Afnameklanten op LS met piekmeting (%)],MATCH($J40,VDSL3[Verdeelsleutel],0))*$P40,"")</f>
        <v>#DIV/0!</v>
      </c>
      <c r="R40" s="94" t="e">
        <f>IF(ISTEXT($J40),INDEX(VDSL3[Afnameklanten met KM/TT (%)],MATCH($J40,VDSL3[Verdeelsleutel],0))*$P40,"")</f>
        <v>#DIV/0!</v>
      </c>
      <c r="S40" s="95">
        <f>IF(ISTEXT($H40),INDEX(VDSL1[Injectie (%)],MATCH($H40,VDSL1[Verdeelsleutel],0))*$K40,"")</f>
        <v>0</v>
      </c>
      <c r="T40" s="591"/>
      <c r="U40" s="1"/>
      <c r="V40" s="1"/>
      <c r="AG40" s="60"/>
    </row>
    <row r="41" spans="1:33" ht="15" customHeight="1">
      <c r="A41" s="81" t="s">
        <v>88</v>
      </c>
      <c r="B41" s="82" t="s">
        <v>83</v>
      </c>
      <c r="C41" s="82" t="s">
        <v>23</v>
      </c>
      <c r="D41" s="82" t="s">
        <v>72</v>
      </c>
      <c r="E41" s="82" t="s">
        <v>90</v>
      </c>
      <c r="F41" s="82" t="s">
        <v>92</v>
      </c>
      <c r="G41" s="83" t="s">
        <v>46</v>
      </c>
      <c r="H41" s="181" t="s">
        <v>239</v>
      </c>
      <c r="I41" s="182" t="s">
        <v>14</v>
      </c>
      <c r="J41" s="82" t="s">
        <v>14</v>
      </c>
      <c r="K41" s="901"/>
      <c r="L41" s="95">
        <f>IF(ISTEXT($H41),INDEX(VDSL1[Afname (%)],MATCH($H41,VDSL1[Verdeelsleutel],0))*$K41,"")</f>
        <v>0</v>
      </c>
      <c r="M41" s="93" t="e">
        <f>IF(ISTEXT($I41),INDEX(VDSL2[TRHS (%)],MATCH($I41,VDSL2[Verdeelsleutel],0))*$L41,"")</f>
        <v>#DIV/0!</v>
      </c>
      <c r="N41" s="93" t="e">
        <f>IF(ISTEXT($I41),INDEX(VDSL2[MS (%)],MATCH($I41,VDSL2[Verdeelsleutel],0))*$L41,"")</f>
        <v>#DIV/0!</v>
      </c>
      <c r="O41" s="93" t="e">
        <f>IF(ISTEXT($I41),INDEX(VDSL2[TRLS (%)],MATCH($I41,VDSL2[Verdeelsleutel],0))*$L41,"")</f>
        <v>#DIV/0!</v>
      </c>
      <c r="P41" s="93" t="e">
        <f>IF(ISTEXT($I41),INDEX(VDSL2[LS (%)],MATCH($I41,VDSL2[Verdeelsleutel],0))*$L41,"")</f>
        <v>#DIV/0!</v>
      </c>
      <c r="Q41" s="93" t="e">
        <f>IF(ISTEXT($J41),INDEX(VDSL3[Afnameklanten op LS met piekmeting (%)],MATCH($J41,VDSL3[Verdeelsleutel],0))*$P41,"")</f>
        <v>#DIV/0!</v>
      </c>
      <c r="R41" s="94" t="e">
        <f>IF(ISTEXT($J41),INDEX(VDSL3[Afnameklanten met KM/TT (%)],MATCH($J41,VDSL3[Verdeelsleutel],0))*$P41,"")</f>
        <v>#DIV/0!</v>
      </c>
      <c r="S41" s="95">
        <f>IF(ISTEXT($H41),INDEX(VDSL1[Injectie (%)],MATCH($H41,VDSL1[Verdeelsleutel],0))*$K41,"")</f>
        <v>0</v>
      </c>
      <c r="T41" s="591"/>
      <c r="U41" s="1"/>
      <c r="V41" s="1"/>
      <c r="AG41" s="60"/>
    </row>
    <row r="42" spans="1:33" ht="15" customHeight="1">
      <c r="A42" s="81" t="s">
        <v>88</v>
      </c>
      <c r="B42" s="82" t="s">
        <v>83</v>
      </c>
      <c r="C42" s="82" t="s">
        <v>23</v>
      </c>
      <c r="D42" s="82" t="s">
        <v>72</v>
      </c>
      <c r="E42" s="82" t="s">
        <v>90</v>
      </c>
      <c r="F42" s="82" t="s">
        <v>92</v>
      </c>
      <c r="G42" s="83" t="s">
        <v>45</v>
      </c>
      <c r="H42" s="181" t="s">
        <v>14</v>
      </c>
      <c r="I42" s="182" t="s">
        <v>14</v>
      </c>
      <c r="J42" s="82" t="s">
        <v>14</v>
      </c>
      <c r="K42" s="901"/>
      <c r="L42" s="95" t="e">
        <f>IF(ISTEXT($H42),INDEX(VDSL1[Afname (%)],MATCH($H42,VDSL1[Verdeelsleutel],0))*$K42,"")</f>
        <v>#DIV/0!</v>
      </c>
      <c r="M42" s="93" t="e">
        <f>IF(ISTEXT($I42),INDEX(VDSL2[TRHS (%)],MATCH($I42,VDSL2[Verdeelsleutel],0))*$L42,"")</f>
        <v>#DIV/0!</v>
      </c>
      <c r="N42" s="93" t="e">
        <f>IF(ISTEXT($I42),INDEX(VDSL2[MS (%)],MATCH($I42,VDSL2[Verdeelsleutel],0))*$L42,"")</f>
        <v>#DIV/0!</v>
      </c>
      <c r="O42" s="93" t="e">
        <f>IF(ISTEXT($I42),INDEX(VDSL2[TRLS (%)],MATCH($I42,VDSL2[Verdeelsleutel],0))*$L42,"")</f>
        <v>#DIV/0!</v>
      </c>
      <c r="P42" s="93" t="e">
        <f>IF(ISTEXT($I42),INDEX(VDSL2[LS (%)],MATCH($I42,VDSL2[Verdeelsleutel],0))*$L42,"")</f>
        <v>#DIV/0!</v>
      </c>
      <c r="Q42" s="93" t="e">
        <f>IF(ISTEXT($J42),INDEX(VDSL3[Afnameklanten op LS met piekmeting (%)],MATCH($J42,VDSL3[Verdeelsleutel],0))*$P42,"")</f>
        <v>#DIV/0!</v>
      </c>
      <c r="R42" s="94" t="e">
        <f>IF(ISTEXT($J42),INDEX(VDSL3[Afnameklanten met KM/TT (%)],MATCH($J42,VDSL3[Verdeelsleutel],0))*$P42,"")</f>
        <v>#DIV/0!</v>
      </c>
      <c r="S42" s="95" t="e">
        <f>IF(ISTEXT($H42),INDEX(VDSL1[Injectie (%)],MATCH($H42,VDSL1[Verdeelsleutel],0))*$K42,"")</f>
        <v>#DIV/0!</v>
      </c>
      <c r="T42" s="591"/>
      <c r="U42" s="1"/>
      <c r="V42" s="1"/>
      <c r="AG42" s="60"/>
    </row>
    <row r="43" spans="1:33" ht="15" customHeight="1">
      <c r="A43" s="81" t="s">
        <v>88</v>
      </c>
      <c r="B43" s="82" t="s">
        <v>83</v>
      </c>
      <c r="C43" s="82" t="s">
        <v>23</v>
      </c>
      <c r="D43" s="82" t="s">
        <v>72</v>
      </c>
      <c r="E43" s="82" t="s">
        <v>90</v>
      </c>
      <c r="F43" s="82" t="s">
        <v>92</v>
      </c>
      <c r="G43" s="83" t="s">
        <v>98</v>
      </c>
      <c r="H43" s="181" t="s">
        <v>239</v>
      </c>
      <c r="I43" s="182" t="s">
        <v>158</v>
      </c>
      <c r="J43" s="82" t="s">
        <v>14</v>
      </c>
      <c r="K43" s="901"/>
      <c r="L43" s="95">
        <f>IF(ISTEXT($H43),INDEX(VDSL1[Afname (%)],MATCH($H43,VDSL1[Verdeelsleutel],0))*$K43,"")</f>
        <v>0</v>
      </c>
      <c r="M43" s="93" t="e">
        <f>IF(ISTEXT($I43),INDEX(VDSL2[TRHS (%)],MATCH($I43,VDSL2[Verdeelsleutel],0))*$L43,"")</f>
        <v>#DIV/0!</v>
      </c>
      <c r="N43" s="93" t="e">
        <f>IF(ISTEXT($I43),INDEX(VDSL2[MS (%)],MATCH($I43,VDSL2[Verdeelsleutel],0))*$L43,"")</f>
        <v>#DIV/0!</v>
      </c>
      <c r="O43" s="93" t="e">
        <f>IF(ISTEXT($I43),INDEX(VDSL2[TRLS (%)],MATCH($I43,VDSL2[Verdeelsleutel],0))*$L43,"")</f>
        <v>#DIV/0!</v>
      </c>
      <c r="P43" s="93" t="e">
        <f>IF(ISTEXT($I43),INDEX(VDSL2[LS (%)],MATCH($I43,VDSL2[Verdeelsleutel],0))*$L43,"")</f>
        <v>#DIV/0!</v>
      </c>
      <c r="Q43" s="93" t="e">
        <f>IF(ISTEXT($J43),INDEX(VDSL3[Afnameklanten op LS met piekmeting (%)],MATCH($J43,VDSL3[Verdeelsleutel],0))*$P43,"")</f>
        <v>#DIV/0!</v>
      </c>
      <c r="R43" s="94" t="e">
        <f>IF(ISTEXT($J43),INDEX(VDSL3[Afnameklanten met KM/TT (%)],MATCH($J43,VDSL3[Verdeelsleutel],0))*$P43,"")</f>
        <v>#DIV/0!</v>
      </c>
      <c r="S43" s="95">
        <f>IF(ISTEXT($H43),INDEX(VDSL1[Injectie (%)],MATCH($H43,VDSL1[Verdeelsleutel],0))*$K43,"")</f>
        <v>0</v>
      </c>
      <c r="T43" s="591"/>
      <c r="U43" s="1"/>
      <c r="V43" s="1"/>
      <c r="AG43" s="60"/>
    </row>
    <row r="44" spans="1:33" ht="15" customHeight="1">
      <c r="A44" s="81" t="s">
        <v>88</v>
      </c>
      <c r="B44" s="82" t="s">
        <v>83</v>
      </c>
      <c r="C44" s="82" t="s">
        <v>23</v>
      </c>
      <c r="D44" s="82" t="s">
        <v>72</v>
      </c>
      <c r="E44" s="82" t="s">
        <v>90</v>
      </c>
      <c r="F44" s="82" t="s">
        <v>92</v>
      </c>
      <c r="G44" s="83" t="s">
        <v>97</v>
      </c>
      <c r="H44" s="181" t="s">
        <v>239</v>
      </c>
      <c r="I44" s="182" t="s">
        <v>158</v>
      </c>
      <c r="J44" s="82" t="s">
        <v>14</v>
      </c>
      <c r="K44" s="901"/>
      <c r="L44" s="95">
        <f>IF(ISTEXT($H44),INDEX(VDSL1[Afname (%)],MATCH($H44,VDSL1[Verdeelsleutel],0))*$K44,"")</f>
        <v>0</v>
      </c>
      <c r="M44" s="93" t="e">
        <f>IF(ISTEXT($I44),INDEX(VDSL2[TRHS (%)],MATCH($I44,VDSL2[Verdeelsleutel],0))*$L44,"")</f>
        <v>#DIV/0!</v>
      </c>
      <c r="N44" s="93" t="e">
        <f>IF(ISTEXT($I44),INDEX(VDSL2[MS (%)],MATCH($I44,VDSL2[Verdeelsleutel],0))*$L44,"")</f>
        <v>#DIV/0!</v>
      </c>
      <c r="O44" s="93" t="e">
        <f>IF(ISTEXT($I44),INDEX(VDSL2[TRLS (%)],MATCH($I44,VDSL2[Verdeelsleutel],0))*$L44,"")</f>
        <v>#DIV/0!</v>
      </c>
      <c r="P44" s="93" t="e">
        <f>IF(ISTEXT($I44),INDEX(VDSL2[LS (%)],MATCH($I44,VDSL2[Verdeelsleutel],0))*$L44,"")</f>
        <v>#DIV/0!</v>
      </c>
      <c r="Q44" s="93" t="e">
        <f>IF(ISTEXT($J44),INDEX(VDSL3[Afnameklanten op LS met piekmeting (%)],MATCH($J44,VDSL3[Verdeelsleutel],0))*$P44,"")</f>
        <v>#DIV/0!</v>
      </c>
      <c r="R44" s="94" t="e">
        <f>IF(ISTEXT($J44),INDEX(VDSL3[Afnameklanten met KM/TT (%)],MATCH($J44,VDSL3[Verdeelsleutel],0))*$P44,"")</f>
        <v>#DIV/0!</v>
      </c>
      <c r="S44" s="95">
        <f>IF(ISTEXT($H44),INDEX(VDSL1[Injectie (%)],MATCH($H44,VDSL1[Verdeelsleutel],0))*$K44,"")</f>
        <v>0</v>
      </c>
      <c r="T44" s="591"/>
      <c r="U44" s="1"/>
      <c r="V44" s="1"/>
      <c r="AG44" s="60"/>
    </row>
    <row r="45" spans="1:33" ht="15" customHeight="1">
      <c r="A45" s="81" t="s">
        <v>88</v>
      </c>
      <c r="B45" s="82" t="s">
        <v>83</v>
      </c>
      <c r="C45" s="82" t="s">
        <v>23</v>
      </c>
      <c r="D45" s="82" t="s">
        <v>72</v>
      </c>
      <c r="E45" s="82" t="s">
        <v>90</v>
      </c>
      <c r="F45" s="82" t="s">
        <v>92</v>
      </c>
      <c r="G45" s="83" t="s">
        <v>341</v>
      </c>
      <c r="H45" s="181" t="s">
        <v>239</v>
      </c>
      <c r="I45" s="182" t="s">
        <v>158</v>
      </c>
      <c r="J45" s="82" t="s">
        <v>14</v>
      </c>
      <c r="K45" s="901"/>
      <c r="L45" s="95">
        <f>IF(ISTEXT($H45),INDEX(VDSL1[Afname (%)],MATCH($H45,VDSL1[Verdeelsleutel],0))*$K45,"")</f>
        <v>0</v>
      </c>
      <c r="M45" s="93" t="e">
        <f>IF(ISTEXT($I45),INDEX(VDSL2[TRHS (%)],MATCH($I45,VDSL2[Verdeelsleutel],0))*$L45,"")</f>
        <v>#DIV/0!</v>
      </c>
      <c r="N45" s="93" t="e">
        <f>IF(ISTEXT($I45),INDEX(VDSL2[MS (%)],MATCH($I45,VDSL2[Verdeelsleutel],0))*$L45,"")</f>
        <v>#DIV/0!</v>
      </c>
      <c r="O45" s="93" t="e">
        <f>IF(ISTEXT($I45),INDEX(VDSL2[TRLS (%)],MATCH($I45,VDSL2[Verdeelsleutel],0))*$L45,"")</f>
        <v>#DIV/0!</v>
      </c>
      <c r="P45" s="93" t="e">
        <f>IF(ISTEXT($I45),INDEX(VDSL2[LS (%)],MATCH($I45,VDSL2[Verdeelsleutel],0))*$L45,"")</f>
        <v>#DIV/0!</v>
      </c>
      <c r="Q45" s="93" t="e">
        <f>IF(ISTEXT($J45),INDEX(VDSL3[Afnameklanten op LS met piekmeting (%)],MATCH($J45,VDSL3[Verdeelsleutel],0))*$P45,"")</f>
        <v>#DIV/0!</v>
      </c>
      <c r="R45" s="94" t="e">
        <f>IF(ISTEXT($J45),INDEX(VDSL3[Afnameklanten met KM/TT (%)],MATCH($J45,VDSL3[Verdeelsleutel],0))*$P45,"")</f>
        <v>#DIV/0!</v>
      </c>
      <c r="S45" s="95">
        <f>IF(ISTEXT($H45),INDEX(VDSL1[Injectie (%)],MATCH($H45,VDSL1[Verdeelsleutel],0))*$K45,"")</f>
        <v>0</v>
      </c>
      <c r="T45" s="591"/>
      <c r="U45" s="1"/>
      <c r="V45" s="1"/>
      <c r="AG45" s="60"/>
    </row>
    <row r="46" spans="1:33" ht="15" customHeight="1">
      <c r="A46" s="81" t="s">
        <v>88</v>
      </c>
      <c r="B46" s="82" t="s">
        <v>83</v>
      </c>
      <c r="C46" s="82" t="s">
        <v>23</v>
      </c>
      <c r="D46" s="82" t="s">
        <v>72</v>
      </c>
      <c r="E46" s="82" t="s">
        <v>90</v>
      </c>
      <c r="F46" s="82" t="s">
        <v>92</v>
      </c>
      <c r="G46" s="83" t="s">
        <v>36</v>
      </c>
      <c r="H46" s="181" t="s">
        <v>239</v>
      </c>
      <c r="I46" s="182" t="s">
        <v>158</v>
      </c>
      <c r="J46" s="82" t="s">
        <v>14</v>
      </c>
      <c r="K46" s="901"/>
      <c r="L46" s="95">
        <f>IF(ISTEXT($H46),INDEX(VDSL1[Afname (%)],MATCH($H46,VDSL1[Verdeelsleutel],0))*$K46,"")</f>
        <v>0</v>
      </c>
      <c r="M46" s="93" t="e">
        <f>IF(ISTEXT($I46),INDEX(VDSL2[TRHS (%)],MATCH($I46,VDSL2[Verdeelsleutel],0))*$L46,"")</f>
        <v>#DIV/0!</v>
      </c>
      <c r="N46" s="93" t="e">
        <f>IF(ISTEXT($I46),INDEX(VDSL2[MS (%)],MATCH($I46,VDSL2[Verdeelsleutel],0))*$L46,"")</f>
        <v>#DIV/0!</v>
      </c>
      <c r="O46" s="93" t="e">
        <f>IF(ISTEXT($I46),INDEX(VDSL2[TRLS (%)],MATCH($I46,VDSL2[Verdeelsleutel],0))*$L46,"")</f>
        <v>#DIV/0!</v>
      </c>
      <c r="P46" s="93" t="e">
        <f>IF(ISTEXT($I46),INDEX(VDSL2[LS (%)],MATCH($I46,VDSL2[Verdeelsleutel],0))*$L46,"")</f>
        <v>#DIV/0!</v>
      </c>
      <c r="Q46" s="93" t="e">
        <f>IF(ISTEXT($J46),INDEX(VDSL3[Afnameklanten op LS met piekmeting (%)],MATCH($J46,VDSL3[Verdeelsleutel],0))*$P46,"")</f>
        <v>#DIV/0!</v>
      </c>
      <c r="R46" s="94" t="e">
        <f>IF(ISTEXT($J46),INDEX(VDSL3[Afnameklanten met KM/TT (%)],MATCH($J46,VDSL3[Verdeelsleutel],0))*$P46,"")</f>
        <v>#DIV/0!</v>
      </c>
      <c r="S46" s="95">
        <f>IF(ISTEXT($H46),INDEX(VDSL1[Injectie (%)],MATCH($H46,VDSL1[Verdeelsleutel],0))*$K46,"")</f>
        <v>0</v>
      </c>
      <c r="T46" s="591"/>
      <c r="U46" s="1"/>
      <c r="V46" s="1"/>
      <c r="AG46" s="60"/>
    </row>
    <row r="47" spans="1:33" ht="15" customHeight="1">
      <c r="A47" s="81" t="s">
        <v>88</v>
      </c>
      <c r="B47" s="82" t="s">
        <v>83</v>
      </c>
      <c r="C47" s="82" t="s">
        <v>23</v>
      </c>
      <c r="D47" s="82" t="s">
        <v>49</v>
      </c>
      <c r="E47" s="82" t="s">
        <v>90</v>
      </c>
      <c r="F47" s="82" t="s">
        <v>91</v>
      </c>
      <c r="G47" s="83" t="s">
        <v>66</v>
      </c>
      <c r="H47" s="181" t="s">
        <v>239</v>
      </c>
      <c r="I47" s="182" t="s">
        <v>27</v>
      </c>
      <c r="J47" s="82" t="s">
        <v>27</v>
      </c>
      <c r="K47" s="901"/>
      <c r="L47" s="95">
        <f>IF(ISTEXT($H47),INDEX(VDSL1[Afname (%)],MATCH($H47,VDSL1[Verdeelsleutel],0))*$K47,"")</f>
        <v>0</v>
      </c>
      <c r="M47" s="93" t="e">
        <f>IF(ISTEXT($I47),INDEX(VDSL2[TRHS (%)],MATCH($I47,VDSL2[Verdeelsleutel],0))*$L47,"")</f>
        <v>#VALUE!</v>
      </c>
      <c r="N47" s="93" t="e">
        <f>IF(ISTEXT($I47),INDEX(VDSL2[MS (%)],MATCH($I47,VDSL2[Verdeelsleutel],0))*$L47,"")</f>
        <v>#VALUE!</v>
      </c>
      <c r="O47" s="93" t="e">
        <f>IF(ISTEXT($I47),INDEX(VDSL2[TRLS (%)],MATCH($I47,VDSL2[Verdeelsleutel],0))*$L47,"")</f>
        <v>#VALUE!</v>
      </c>
      <c r="P47" s="93" t="e">
        <f>IF(ISTEXT($I47),INDEX(VDSL2[LS (%)],MATCH($I47,VDSL2[Verdeelsleutel],0))*$L47,"")</f>
        <v>#VALUE!</v>
      </c>
      <c r="Q47" s="93" t="e">
        <f>IF(ISTEXT($J47),INDEX(VDSL3[Afnameklanten op LS met piekmeting (%)],MATCH($J47,VDSL3[Verdeelsleutel],0))*$P47,"")</f>
        <v>#VALUE!</v>
      </c>
      <c r="R47" s="94" t="e">
        <f>IF(ISTEXT($J47),INDEX(VDSL3[Afnameklanten met KM/TT (%)],MATCH($J47,VDSL3[Verdeelsleutel],0))*$P47,"")</f>
        <v>#VALUE!</v>
      </c>
      <c r="S47" s="95">
        <f>IF(ISTEXT($H47),INDEX(VDSL1[Injectie (%)],MATCH($H47,VDSL1[Verdeelsleutel],0))*$K47,"")</f>
        <v>0</v>
      </c>
      <c r="T47" s="591"/>
      <c r="U47" s="1"/>
      <c r="V47" s="1"/>
      <c r="AG47" s="60"/>
    </row>
    <row r="48" spans="1:33" ht="15" customHeight="1">
      <c r="A48" s="81" t="s">
        <v>88</v>
      </c>
      <c r="B48" s="82" t="s">
        <v>83</v>
      </c>
      <c r="C48" s="82" t="s">
        <v>10</v>
      </c>
      <c r="D48" s="82" t="s">
        <v>49</v>
      </c>
      <c r="E48" s="82" t="s">
        <v>90</v>
      </c>
      <c r="F48" s="82" t="s">
        <v>92</v>
      </c>
      <c r="G48" s="83" t="s">
        <v>65</v>
      </c>
      <c r="H48" s="181" t="s">
        <v>239</v>
      </c>
      <c r="I48" s="182" t="s">
        <v>229</v>
      </c>
      <c r="J48" s="82" t="s">
        <v>229</v>
      </c>
      <c r="K48" s="901"/>
      <c r="L48" s="95">
        <f>IF(ISTEXT($H48),INDEX(VDSL1[Afname (%)],MATCH($H48,VDSL1[Verdeelsleutel],0))*$K48,"")</f>
        <v>0</v>
      </c>
      <c r="M48" s="93" t="e">
        <f>IF(ISTEXT($I48),INDEX(VDSL2[TRHS (%)],MATCH($I48,VDSL2[Verdeelsleutel],0))*$L48,"")</f>
        <v>#VALUE!</v>
      </c>
      <c r="N48" s="93" t="e">
        <f>IF(ISTEXT($I48),INDEX(VDSL2[MS (%)],MATCH($I48,VDSL2[Verdeelsleutel],0))*$L48,"")</f>
        <v>#VALUE!</v>
      </c>
      <c r="O48" s="93" t="e">
        <f>IF(ISTEXT($I48),INDEX(VDSL2[TRLS (%)],MATCH($I48,VDSL2[Verdeelsleutel],0))*$L48,"")</f>
        <v>#VALUE!</v>
      </c>
      <c r="P48" s="93" t="e">
        <f>IF(ISTEXT($I48),INDEX(VDSL2[LS (%)],MATCH($I48,VDSL2[Verdeelsleutel],0))*$L48,"")</f>
        <v>#VALUE!</v>
      </c>
      <c r="Q48" s="93" t="e">
        <f>IF(ISTEXT($J48),INDEX(VDSL3[Afnameklanten op LS met piekmeting (%)],MATCH($J48,VDSL3[Verdeelsleutel],0))*$P48,"")</f>
        <v>#VALUE!</v>
      </c>
      <c r="R48" s="94" t="e">
        <f>IF(ISTEXT($J48),INDEX(VDSL3[Afnameklanten met KM/TT (%)],MATCH($J48,VDSL3[Verdeelsleutel],0))*$P48,"")</f>
        <v>#VALUE!</v>
      </c>
      <c r="S48" s="95">
        <f>IF(ISTEXT($H48),INDEX(VDSL1[Injectie (%)],MATCH($H48,VDSL1[Verdeelsleutel],0))*$K48,"")</f>
        <v>0</v>
      </c>
      <c r="T48" s="591"/>
      <c r="U48" s="1"/>
      <c r="V48" s="1"/>
      <c r="AG48" s="60"/>
    </row>
    <row r="49" spans="1:33" ht="15" customHeight="1">
      <c r="A49" s="81" t="s">
        <v>88</v>
      </c>
      <c r="B49" s="82" t="s">
        <v>83</v>
      </c>
      <c r="C49" s="82" t="s">
        <v>10</v>
      </c>
      <c r="D49" s="82" t="s">
        <v>49</v>
      </c>
      <c r="E49" s="82" t="s">
        <v>90</v>
      </c>
      <c r="F49" s="82" t="s">
        <v>92</v>
      </c>
      <c r="G49" s="83" t="s">
        <v>320</v>
      </c>
      <c r="H49" s="181" t="s">
        <v>239</v>
      </c>
      <c r="I49" s="182" t="s">
        <v>229</v>
      </c>
      <c r="J49" s="82" t="s">
        <v>229</v>
      </c>
      <c r="K49" s="901"/>
      <c r="L49" s="95">
        <f>IF(ISTEXT($H49),INDEX(VDSL1[Afname (%)],MATCH($H49,VDSL1[Verdeelsleutel],0))*$K49,"")</f>
        <v>0</v>
      </c>
      <c r="M49" s="93" t="e">
        <f>IF(ISTEXT($I49),INDEX(VDSL2[TRHS (%)],MATCH($I49,VDSL2[Verdeelsleutel],0))*$L49,"")</f>
        <v>#VALUE!</v>
      </c>
      <c r="N49" s="93" t="e">
        <f>IF(ISTEXT($I49),INDEX(VDSL2[MS (%)],MATCH($I49,VDSL2[Verdeelsleutel],0))*$L49,"")</f>
        <v>#VALUE!</v>
      </c>
      <c r="O49" s="93" t="e">
        <f>IF(ISTEXT($I49),INDEX(VDSL2[TRLS (%)],MATCH($I49,VDSL2[Verdeelsleutel],0))*$L49,"")</f>
        <v>#VALUE!</v>
      </c>
      <c r="P49" s="93" t="e">
        <f>IF(ISTEXT($I49),INDEX(VDSL2[LS (%)],MATCH($I49,VDSL2[Verdeelsleutel],0))*$L49,"")</f>
        <v>#VALUE!</v>
      </c>
      <c r="Q49" s="93" t="e">
        <f>IF(ISTEXT($J49),INDEX(VDSL3[Afnameklanten op LS met piekmeting (%)],MATCH($J49,VDSL3[Verdeelsleutel],0))*$P49,"")</f>
        <v>#VALUE!</v>
      </c>
      <c r="R49" s="94" t="e">
        <f>IF(ISTEXT($J49),INDEX(VDSL3[Afnameklanten met KM/TT (%)],MATCH($J49,VDSL3[Verdeelsleutel],0))*$P49,"")</f>
        <v>#VALUE!</v>
      </c>
      <c r="S49" s="95">
        <f>IF(ISTEXT($H49),INDEX(VDSL1[Injectie (%)],MATCH($H49,VDSL1[Verdeelsleutel],0))*$K49,"")</f>
        <v>0</v>
      </c>
      <c r="T49" s="591"/>
      <c r="U49" s="1"/>
      <c r="V49" s="1"/>
      <c r="AG49" s="60"/>
    </row>
    <row r="50" spans="1:33" ht="15" customHeight="1">
      <c r="A50" s="81" t="s">
        <v>88</v>
      </c>
      <c r="B50" s="82" t="s">
        <v>83</v>
      </c>
      <c r="C50" s="82" t="s">
        <v>10</v>
      </c>
      <c r="D50" s="82" t="s">
        <v>67</v>
      </c>
      <c r="E50" s="82" t="s">
        <v>90</v>
      </c>
      <c r="F50" s="82" t="s">
        <v>92</v>
      </c>
      <c r="G50" s="83" t="s">
        <v>68</v>
      </c>
      <c r="H50" s="181" t="s">
        <v>239</v>
      </c>
      <c r="I50" s="182" t="s">
        <v>83</v>
      </c>
      <c r="J50" s="82" t="s">
        <v>83</v>
      </c>
      <c r="K50" s="901"/>
      <c r="L50" s="95">
        <f>IF(ISTEXT($H50),INDEX(VDSL1[Afname (%)],MATCH($H50,VDSL1[Verdeelsleutel],0))*$K50,"")</f>
        <v>0</v>
      </c>
      <c r="M50" s="93" t="e">
        <f>IF(ISTEXT($I50),INDEX(VDSL2[TRHS (%)],MATCH($I50,VDSL2[Verdeelsleutel],0))*$L50,"")</f>
        <v>#VALUE!</v>
      </c>
      <c r="N50" s="93" t="e">
        <f>IF(ISTEXT($I50),INDEX(VDSL2[MS (%)],MATCH($I50,VDSL2[Verdeelsleutel],0))*$L50,"")</f>
        <v>#VALUE!</v>
      </c>
      <c r="O50" s="93" t="e">
        <f>IF(ISTEXT($I50),INDEX(VDSL2[TRLS (%)],MATCH($I50,VDSL2[Verdeelsleutel],0))*$L50,"")</f>
        <v>#VALUE!</v>
      </c>
      <c r="P50" s="93" t="e">
        <f>IF(ISTEXT($I50),INDEX(VDSL2[LS (%)],MATCH($I50,VDSL2[Verdeelsleutel],0))*$L50,"")</f>
        <v>#VALUE!</v>
      </c>
      <c r="Q50" s="93" t="e">
        <f>IF(ISTEXT($J50),INDEX(VDSL3[Afnameklanten op LS met piekmeting (%)],MATCH($J50,VDSL3[Verdeelsleutel],0))*$P50,"")</f>
        <v>#VALUE!</v>
      </c>
      <c r="R50" s="94" t="e">
        <f>IF(ISTEXT($J50),INDEX(VDSL3[Afnameklanten met KM/TT (%)],MATCH($J50,VDSL3[Verdeelsleutel],0))*$P50,"")</f>
        <v>#VALUE!</v>
      </c>
      <c r="S50" s="95">
        <f>IF(ISTEXT($H50),INDEX(VDSL1[Injectie (%)],MATCH($H50,VDSL1[Verdeelsleutel],0))*$K50,"")</f>
        <v>0</v>
      </c>
      <c r="T50" s="591"/>
      <c r="U50" s="1"/>
      <c r="V50" s="1"/>
      <c r="AG50" s="60"/>
    </row>
    <row r="51" spans="1:33" ht="15" customHeight="1">
      <c r="A51" s="81" t="s">
        <v>88</v>
      </c>
      <c r="B51" s="82" t="s">
        <v>83</v>
      </c>
      <c r="C51" s="82" t="s">
        <v>23</v>
      </c>
      <c r="D51" s="82" t="s">
        <v>47</v>
      </c>
      <c r="E51" s="82" t="s">
        <v>90</v>
      </c>
      <c r="F51" s="82" t="s">
        <v>92</v>
      </c>
      <c r="G51" s="83" t="s">
        <v>542</v>
      </c>
      <c r="H51" s="181" t="s">
        <v>239</v>
      </c>
      <c r="I51" s="182" t="s">
        <v>83</v>
      </c>
      <c r="J51" s="82" t="s">
        <v>83</v>
      </c>
      <c r="K51" s="901"/>
      <c r="L51" s="95">
        <f>IF(ISTEXT($H51),INDEX(VDSL1[Afname (%)],MATCH($H51,VDSL1[Verdeelsleutel],0))*$K51,"")</f>
        <v>0</v>
      </c>
      <c r="M51" s="93" t="e">
        <f>IF(ISTEXT($I51),INDEX(VDSL2[TRHS (%)],MATCH($I51,VDSL2[Verdeelsleutel],0))*$L51,"")</f>
        <v>#VALUE!</v>
      </c>
      <c r="N51" s="93" t="e">
        <f>IF(ISTEXT($I51),INDEX(VDSL2[MS (%)],MATCH($I51,VDSL2[Verdeelsleutel],0))*$L51,"")</f>
        <v>#VALUE!</v>
      </c>
      <c r="O51" s="93" t="e">
        <f>IF(ISTEXT($I51),INDEX(VDSL2[TRLS (%)],MATCH($I51,VDSL2[Verdeelsleutel],0))*$L51,"")</f>
        <v>#VALUE!</v>
      </c>
      <c r="P51" s="93" t="e">
        <f>IF(ISTEXT($I51),INDEX(VDSL2[LS (%)],MATCH($I51,VDSL2[Verdeelsleutel],0))*$L51,"")</f>
        <v>#VALUE!</v>
      </c>
      <c r="Q51" s="93" t="e">
        <f>IF(ISTEXT($J51),INDEX(VDSL3[Afnameklanten op LS met piekmeting (%)],MATCH($J51,VDSL3[Verdeelsleutel],0))*$P51,"")</f>
        <v>#VALUE!</v>
      </c>
      <c r="R51" s="94" t="e">
        <f>IF(ISTEXT($J51),INDEX(VDSL3[Afnameklanten met KM/TT (%)],MATCH($J51,VDSL3[Verdeelsleutel],0))*$P51,"")</f>
        <v>#VALUE!</v>
      </c>
      <c r="S51" s="95">
        <f>IF(ISTEXT($H51),INDEX(VDSL1[Injectie (%)],MATCH($H51,VDSL1[Verdeelsleutel],0))*$K51,"")</f>
        <v>0</v>
      </c>
      <c r="T51" s="591"/>
      <c r="U51" s="1"/>
      <c r="V51" s="1"/>
      <c r="AG51" s="60"/>
    </row>
    <row r="52" spans="1:33" ht="15" customHeight="1">
      <c r="A52" s="81" t="s">
        <v>88</v>
      </c>
      <c r="B52" s="82" t="s">
        <v>83</v>
      </c>
      <c r="C52" s="82" t="s">
        <v>23</v>
      </c>
      <c r="D52" s="82" t="s">
        <v>47</v>
      </c>
      <c r="E52" s="82" t="s">
        <v>90</v>
      </c>
      <c r="F52" s="82" t="s">
        <v>92</v>
      </c>
      <c r="G52" s="83" t="s">
        <v>541</v>
      </c>
      <c r="H52" s="181" t="s">
        <v>239</v>
      </c>
      <c r="I52" s="182" t="s">
        <v>83</v>
      </c>
      <c r="J52" s="82" t="s">
        <v>83</v>
      </c>
      <c r="K52" s="901"/>
      <c r="L52" s="95">
        <f>IF(ISTEXT($H52),INDEX(VDSL1[Afname (%)],MATCH($H52,VDSL1[Verdeelsleutel],0))*$K52,"")</f>
        <v>0</v>
      </c>
      <c r="M52" s="93" t="e">
        <f>IF(ISTEXT($I52),INDEX(VDSL2[TRHS (%)],MATCH($I52,VDSL2[Verdeelsleutel],0))*$L52,"")</f>
        <v>#VALUE!</v>
      </c>
      <c r="N52" s="93" t="e">
        <f>IF(ISTEXT($I52),INDEX(VDSL2[MS (%)],MATCH($I52,VDSL2[Verdeelsleutel],0))*$L52,"")</f>
        <v>#VALUE!</v>
      </c>
      <c r="O52" s="93" t="e">
        <f>IF(ISTEXT($I52),INDEX(VDSL2[TRLS (%)],MATCH($I52,VDSL2[Verdeelsleutel],0))*$L52,"")</f>
        <v>#VALUE!</v>
      </c>
      <c r="P52" s="93" t="e">
        <f>IF(ISTEXT($I52),INDEX(VDSL2[LS (%)],MATCH($I52,VDSL2[Verdeelsleutel],0))*$L52,"")</f>
        <v>#VALUE!</v>
      </c>
      <c r="Q52" s="93" t="e">
        <f>IF(ISTEXT($J52),INDEX(VDSL3[Afnameklanten op LS met piekmeting (%)],MATCH($J52,VDSL3[Verdeelsleutel],0))*$P52,"")</f>
        <v>#VALUE!</v>
      </c>
      <c r="R52" s="94" t="e">
        <f>IF(ISTEXT($J52),INDEX(VDSL3[Afnameklanten met KM/TT (%)],MATCH($J52,VDSL3[Verdeelsleutel],0))*$P52,"")</f>
        <v>#VALUE!</v>
      </c>
      <c r="S52" s="95">
        <f>IF(ISTEXT($H52),INDEX(VDSL1[Injectie (%)],MATCH($H52,VDSL1[Verdeelsleutel],0))*$K52,"")</f>
        <v>0</v>
      </c>
      <c r="T52" s="591"/>
      <c r="U52" s="1"/>
      <c r="V52" s="1"/>
      <c r="AG52" s="60"/>
    </row>
    <row r="53" spans="1:33" ht="15" customHeight="1">
      <c r="A53" s="81" t="s">
        <v>88</v>
      </c>
      <c r="B53" s="82" t="s">
        <v>83</v>
      </c>
      <c r="C53" s="82" t="s">
        <v>23</v>
      </c>
      <c r="D53" s="82" t="s">
        <v>47</v>
      </c>
      <c r="E53" s="82" t="s">
        <v>90</v>
      </c>
      <c r="F53" s="82" t="s">
        <v>92</v>
      </c>
      <c r="G53" s="83" t="s">
        <v>47</v>
      </c>
      <c r="H53" s="181" t="s">
        <v>239</v>
      </c>
      <c r="I53" s="182" t="s">
        <v>83</v>
      </c>
      <c r="J53" s="82" t="s">
        <v>83</v>
      </c>
      <c r="K53" s="901"/>
      <c r="L53" s="95">
        <f>IF(ISTEXT($H53),INDEX(VDSL1[Afname (%)],MATCH($H53,VDSL1[Verdeelsleutel],0))*$K53,"")</f>
        <v>0</v>
      </c>
      <c r="M53" s="93" t="e">
        <f>IF(ISTEXT($I53),INDEX(VDSL2[TRHS (%)],MATCH($I53,VDSL2[Verdeelsleutel],0))*$L53,"")</f>
        <v>#VALUE!</v>
      </c>
      <c r="N53" s="93" t="e">
        <f>IF(ISTEXT($I53),INDEX(VDSL2[MS (%)],MATCH($I53,VDSL2[Verdeelsleutel],0))*$L53,"")</f>
        <v>#VALUE!</v>
      </c>
      <c r="O53" s="93" t="e">
        <f>IF(ISTEXT($I53),INDEX(VDSL2[TRLS (%)],MATCH($I53,VDSL2[Verdeelsleutel],0))*$L53,"")</f>
        <v>#VALUE!</v>
      </c>
      <c r="P53" s="93" t="e">
        <f>IF(ISTEXT($I53),INDEX(VDSL2[LS (%)],MATCH($I53,VDSL2[Verdeelsleutel],0))*$L53,"")</f>
        <v>#VALUE!</v>
      </c>
      <c r="Q53" s="93" t="e">
        <f>IF(ISTEXT($J53),INDEX(VDSL3[Afnameklanten op LS met piekmeting (%)],MATCH($J53,VDSL3[Verdeelsleutel],0))*$P53,"")</f>
        <v>#VALUE!</v>
      </c>
      <c r="R53" s="94" t="e">
        <f>IF(ISTEXT($J53),INDEX(VDSL3[Afnameklanten met KM/TT (%)],MATCH($J53,VDSL3[Verdeelsleutel],0))*$P53,"")</f>
        <v>#VALUE!</v>
      </c>
      <c r="S53" s="95">
        <f>IF(ISTEXT($H53),INDEX(VDSL1[Injectie (%)],MATCH($H53,VDSL1[Verdeelsleutel],0))*$K53,"")</f>
        <v>0</v>
      </c>
      <c r="T53" s="591"/>
      <c r="U53" s="1"/>
      <c r="V53" s="1"/>
      <c r="AG53" s="60"/>
    </row>
    <row r="54" spans="1:33" ht="15" customHeight="1">
      <c r="A54" s="81" t="s">
        <v>88</v>
      </c>
      <c r="B54" s="82" t="s">
        <v>13</v>
      </c>
      <c r="C54" s="82" t="s">
        <v>23</v>
      </c>
      <c r="D54" s="82" t="s">
        <v>72</v>
      </c>
      <c r="E54" s="82" t="s">
        <v>90</v>
      </c>
      <c r="F54" s="82" t="s">
        <v>92</v>
      </c>
      <c r="G54" s="379" t="s">
        <v>78</v>
      </c>
      <c r="H54" s="181" t="s">
        <v>239</v>
      </c>
      <c r="I54" s="182" t="s">
        <v>335</v>
      </c>
      <c r="J54" s="82"/>
      <c r="K54" s="901"/>
      <c r="L54" s="95">
        <f>IF(ISTEXT($H54),INDEX(VDSL1[Afname (%)],MATCH($H54,VDSL1[Verdeelsleutel],0))*$K54,"")</f>
        <v>0</v>
      </c>
      <c r="M54" s="93" t="e">
        <f>IF(ISTEXT($I54),INDEX(VDSL2[TRHS (%)],MATCH($I54,VDSL2[Verdeelsleutel],0))*$L54,"")</f>
        <v>#VALUE!</v>
      </c>
      <c r="N54" s="93" t="e">
        <f>IF(ISTEXT($I54),INDEX(VDSL2[MS (%)],MATCH($I54,VDSL2[Verdeelsleutel],0))*$L54,"")</f>
        <v>#VALUE!</v>
      </c>
      <c r="O54" s="93" t="e">
        <f>IF(ISTEXT($I54),INDEX(VDSL2[TRLS (%)],MATCH($I54,VDSL2[Verdeelsleutel],0))*$L54,"")</f>
        <v>#VALUE!</v>
      </c>
      <c r="P54" s="93" t="e">
        <f>IF(ISTEXT($I54),INDEX(VDSL2[LS (%)],MATCH($I54,VDSL2[Verdeelsleutel],0))*$L54,"")</f>
        <v>#DIV/0!</v>
      </c>
      <c r="Q54" s="93" t="str">
        <f>IF(ISTEXT($J54),INDEX(VDSL3[Afnameklanten op LS met piekmeting (%)],MATCH($J54,VDSL3[Verdeelsleutel],0))*$P54,"")</f>
        <v/>
      </c>
      <c r="R54" s="94" t="str">
        <f>IF(ISTEXT($J54),INDEX(VDSL3[Afnameklanten met KM/TT (%)],MATCH($J54,VDSL3[Verdeelsleutel],0))*$P54,"")</f>
        <v/>
      </c>
      <c r="S54" s="95">
        <f>IF(ISTEXT($H54),INDEX(VDSL1[Injectie (%)],MATCH($H54,VDSL1[Verdeelsleutel],0))*$K54,"")</f>
        <v>0</v>
      </c>
      <c r="T54" s="591"/>
      <c r="U54" s="1"/>
      <c r="V54" s="1"/>
      <c r="AG54" s="60"/>
    </row>
    <row r="55" spans="1:33" ht="15" customHeight="1">
      <c r="A55" s="81" t="s">
        <v>88</v>
      </c>
      <c r="B55" s="82" t="s">
        <v>13</v>
      </c>
      <c r="C55" s="82" t="s">
        <v>23</v>
      </c>
      <c r="D55" s="82" t="s">
        <v>72</v>
      </c>
      <c r="E55" s="82" t="s">
        <v>90</v>
      </c>
      <c r="F55" s="82" t="s">
        <v>92</v>
      </c>
      <c r="G55" s="83" t="s">
        <v>341</v>
      </c>
      <c r="H55" s="181" t="s">
        <v>239</v>
      </c>
      <c r="I55" s="182" t="s">
        <v>335</v>
      </c>
      <c r="J55" s="82"/>
      <c r="K55" s="901"/>
      <c r="L55" s="95">
        <f>IF(ISTEXT($H55),INDEX(VDSL1[Afname (%)],MATCH($H55,VDSL1[Verdeelsleutel],0))*$K55,"")</f>
        <v>0</v>
      </c>
      <c r="M55" s="93" t="e">
        <f>IF(ISTEXT($I55),INDEX(VDSL2[TRHS (%)],MATCH($I55,VDSL2[Verdeelsleutel],0))*$L55,"")</f>
        <v>#VALUE!</v>
      </c>
      <c r="N55" s="93" t="e">
        <f>IF(ISTEXT($I55),INDEX(VDSL2[MS (%)],MATCH($I55,VDSL2[Verdeelsleutel],0))*$L55,"")</f>
        <v>#VALUE!</v>
      </c>
      <c r="O55" s="93" t="e">
        <f>IF(ISTEXT($I55),INDEX(VDSL2[TRLS (%)],MATCH($I55,VDSL2[Verdeelsleutel],0))*$L55,"")</f>
        <v>#VALUE!</v>
      </c>
      <c r="P55" s="93" t="e">
        <f>IF(ISTEXT($I55),INDEX(VDSL2[LS (%)],MATCH($I55,VDSL2[Verdeelsleutel],0))*$L55,"")</f>
        <v>#DIV/0!</v>
      </c>
      <c r="Q55" s="93" t="str">
        <f>IF(ISTEXT($J55),INDEX(VDSL3[Afnameklanten op LS met piekmeting (%)],MATCH($J55,VDSL3[Verdeelsleutel],0))*$P55,"")</f>
        <v/>
      </c>
      <c r="R55" s="94" t="str">
        <f>IF(ISTEXT($J55),INDEX(VDSL3[Afnameklanten met KM/TT (%)],MATCH($J55,VDSL3[Verdeelsleutel],0))*$P55,"")</f>
        <v/>
      </c>
      <c r="S55" s="95">
        <f>IF(ISTEXT($H55),INDEX(VDSL1[Injectie (%)],MATCH($H55,VDSL1[Verdeelsleutel],0))*$K55,"")</f>
        <v>0</v>
      </c>
      <c r="T55" s="591"/>
      <c r="U55" s="1"/>
      <c r="V55" s="1"/>
      <c r="AG55" s="60"/>
    </row>
    <row r="56" spans="1:33" ht="15" customHeight="1">
      <c r="A56" s="81" t="s">
        <v>52</v>
      </c>
      <c r="B56" s="82" t="s">
        <v>13</v>
      </c>
      <c r="C56" s="82" t="s">
        <v>10</v>
      </c>
      <c r="D56" s="82" t="s">
        <v>72</v>
      </c>
      <c r="E56" s="82" t="s">
        <v>90</v>
      </c>
      <c r="F56" s="82" t="s">
        <v>92</v>
      </c>
      <c r="G56" s="83" t="s">
        <v>558</v>
      </c>
      <c r="H56" s="181" t="s">
        <v>239</v>
      </c>
      <c r="I56" s="182" t="s">
        <v>335</v>
      </c>
      <c r="J56" s="82"/>
      <c r="K56" s="901"/>
      <c r="L56" s="95">
        <f>IF(ISTEXT($H56),INDEX(VDSL1[Afname (%)],MATCH($H56,VDSL1[Verdeelsleutel],0))*$K56,"")</f>
        <v>0</v>
      </c>
      <c r="M56" s="93" t="e">
        <f>IF(ISTEXT($I56),INDEX(VDSL2[TRHS (%)],MATCH($I56,VDSL2[Verdeelsleutel],0))*$L56,"")</f>
        <v>#VALUE!</v>
      </c>
      <c r="N56" s="93" t="e">
        <f>IF(ISTEXT($I56),INDEX(VDSL2[MS (%)],MATCH($I56,VDSL2[Verdeelsleutel],0))*$L56,"")</f>
        <v>#VALUE!</v>
      </c>
      <c r="O56" s="93" t="e">
        <f>IF(ISTEXT($I56),INDEX(VDSL2[TRLS (%)],MATCH($I56,VDSL2[Verdeelsleutel],0))*$L56,"")</f>
        <v>#VALUE!</v>
      </c>
      <c r="P56" s="93" t="e">
        <f>IF(ISTEXT($I56),INDEX(VDSL2[LS (%)],MATCH($I56,VDSL2[Verdeelsleutel],0))*$L56,"")</f>
        <v>#DIV/0!</v>
      </c>
      <c r="Q56" s="93" t="str">
        <f>IF(ISTEXT($J56),INDEX(VDSL3[Afnameklanten op LS met piekmeting (%)],MATCH($J56,VDSL3[Verdeelsleutel],0))*$P56,"")</f>
        <v/>
      </c>
      <c r="R56" s="94" t="str">
        <f>IF(ISTEXT($J56),INDEX(VDSL3[Afnameklanten met KM/TT (%)],MATCH($J56,VDSL3[Verdeelsleutel],0))*$P56,"")</f>
        <v/>
      </c>
      <c r="S56" s="95">
        <f>IF(ISTEXT($H56),INDEX(VDSL1[Injectie (%)],MATCH($H56,VDSL1[Verdeelsleutel],0))*$K56,"")</f>
        <v>0</v>
      </c>
      <c r="T56" s="591"/>
      <c r="U56" s="1"/>
      <c r="V56" s="1"/>
      <c r="AG56" s="60"/>
    </row>
    <row r="57" spans="1:33" ht="15" customHeight="1">
      <c r="A57" s="81" t="s">
        <v>52</v>
      </c>
      <c r="B57" s="82" t="s">
        <v>13</v>
      </c>
      <c r="C57" s="82" t="s">
        <v>10</v>
      </c>
      <c r="D57" s="82" t="s">
        <v>72</v>
      </c>
      <c r="E57" s="82" t="s">
        <v>90</v>
      </c>
      <c r="F57" s="82" t="s">
        <v>92</v>
      </c>
      <c r="G57" s="83" t="s">
        <v>56</v>
      </c>
      <c r="H57" s="181" t="s">
        <v>239</v>
      </c>
      <c r="I57" s="182" t="s">
        <v>335</v>
      </c>
      <c r="J57" s="82"/>
      <c r="K57" s="901"/>
      <c r="L57" s="95">
        <f>IF(ISTEXT($H57),INDEX(VDSL1[Afname (%)],MATCH($H57,VDSL1[Verdeelsleutel],0))*$K57,"")</f>
        <v>0</v>
      </c>
      <c r="M57" s="93" t="e">
        <f>IF(ISTEXT($I57),INDEX(VDSL2[TRHS (%)],MATCH($I57,VDSL2[Verdeelsleutel],0))*$L57,"")</f>
        <v>#VALUE!</v>
      </c>
      <c r="N57" s="93" t="e">
        <f>IF(ISTEXT($I57),INDEX(VDSL2[MS (%)],MATCH($I57,VDSL2[Verdeelsleutel],0))*$L57,"")</f>
        <v>#VALUE!</v>
      </c>
      <c r="O57" s="93" t="e">
        <f>IF(ISTEXT($I57),INDEX(VDSL2[TRLS (%)],MATCH($I57,VDSL2[Verdeelsleutel],0))*$L57,"")</f>
        <v>#VALUE!</v>
      </c>
      <c r="P57" s="93" t="e">
        <f>IF(ISTEXT($I57),INDEX(VDSL2[LS (%)],MATCH($I57,VDSL2[Verdeelsleutel],0))*$L57,"")</f>
        <v>#DIV/0!</v>
      </c>
      <c r="Q57" s="93" t="str">
        <f>IF(ISTEXT($J57),INDEX(VDSL3[Afnameklanten op LS met piekmeting (%)],MATCH($J57,VDSL3[Verdeelsleutel],0))*$P57,"")</f>
        <v/>
      </c>
      <c r="R57" s="94" t="str">
        <f>IF(ISTEXT($J57),INDEX(VDSL3[Afnameklanten met KM/TT (%)],MATCH($J57,VDSL3[Verdeelsleutel],0))*$P57,"")</f>
        <v/>
      </c>
      <c r="S57" s="95">
        <f>IF(ISTEXT($H57),INDEX(VDSL1[Injectie (%)],MATCH($H57,VDSL1[Verdeelsleutel],0))*$K57,"")</f>
        <v>0</v>
      </c>
      <c r="T57" s="591"/>
      <c r="U57" s="1"/>
      <c r="V57" s="1"/>
      <c r="AG57" s="60"/>
    </row>
    <row r="58" spans="1:33" ht="15" customHeight="1">
      <c r="A58" s="81" t="s">
        <v>88</v>
      </c>
      <c r="B58" s="82" t="s">
        <v>84</v>
      </c>
      <c r="C58" s="82" t="s">
        <v>23</v>
      </c>
      <c r="D58" s="82" t="s">
        <v>27</v>
      </c>
      <c r="E58" s="82" t="s">
        <v>90</v>
      </c>
      <c r="F58" s="82" t="s">
        <v>92</v>
      </c>
      <c r="G58" s="83" t="s">
        <v>253</v>
      </c>
      <c r="H58" s="181" t="s">
        <v>84</v>
      </c>
      <c r="I58" s="182" t="s">
        <v>84</v>
      </c>
      <c r="J58" s="82" t="s">
        <v>84</v>
      </c>
      <c r="K58" s="901"/>
      <c r="L58" s="95" t="e">
        <f>IF(ISTEXT($H58),INDEX(VDSL1[Afname (%)],MATCH($H58,VDSL1[Verdeelsleutel],0))*$K58,"")</f>
        <v>#VALUE!</v>
      </c>
      <c r="M58" s="93" t="e">
        <f>IF(ISTEXT($I58),INDEX(VDSL2[TRHS (%)],MATCH($I58,VDSL2[Verdeelsleutel],0))*$L58,"")</f>
        <v>#VALUE!</v>
      </c>
      <c r="N58" s="93" t="e">
        <f>IF(ISTEXT($I58),INDEX(VDSL2[MS (%)],MATCH($I58,VDSL2[Verdeelsleutel],0))*$L58,"")</f>
        <v>#VALUE!</v>
      </c>
      <c r="O58" s="93" t="e">
        <f>IF(ISTEXT($I58),INDEX(VDSL2[TRLS (%)],MATCH($I58,VDSL2[Verdeelsleutel],0))*$L58,"")</f>
        <v>#VALUE!</v>
      </c>
      <c r="P58" s="93" t="e">
        <f>IF(ISTEXT($I58),INDEX(VDSL2[LS (%)],MATCH($I58,VDSL2[Verdeelsleutel],0))*$L58,"")</f>
        <v>#VALUE!</v>
      </c>
      <c r="Q58" s="93" t="e">
        <f>IF(ISTEXT($J58),INDEX(VDSL3[Afnameklanten op LS met piekmeting (%)],MATCH($J58,VDSL3[Verdeelsleutel],0))*$P58,"")</f>
        <v>#VALUE!</v>
      </c>
      <c r="R58" s="94" t="e">
        <f>IF(ISTEXT($J58),INDEX(VDSL3[Afnameklanten met KM/TT (%)],MATCH($J58,VDSL3[Verdeelsleutel],0))*$P58,"")</f>
        <v>#VALUE!</v>
      </c>
      <c r="S58" s="95" t="e">
        <f>IF(ISTEXT($H58),INDEX(VDSL1[Injectie (%)],MATCH($H58,VDSL1[Verdeelsleutel],0))*$K58,"")</f>
        <v>#VALUE!</v>
      </c>
      <c r="T58" s="591"/>
      <c r="U58" s="1"/>
      <c r="V58" s="1"/>
      <c r="AG58" s="60"/>
    </row>
    <row r="59" spans="1:33" ht="15" customHeight="1">
      <c r="A59" s="81" t="s">
        <v>88</v>
      </c>
      <c r="B59" s="82" t="s">
        <v>84</v>
      </c>
      <c r="C59" s="82" t="s">
        <v>23</v>
      </c>
      <c r="D59" s="82" t="s">
        <v>72</v>
      </c>
      <c r="E59" s="82" t="s">
        <v>90</v>
      </c>
      <c r="F59" s="82" t="s">
        <v>92</v>
      </c>
      <c r="G59" s="83" t="s">
        <v>50</v>
      </c>
      <c r="H59" s="181" t="s">
        <v>84</v>
      </c>
      <c r="I59" s="182" t="s">
        <v>84</v>
      </c>
      <c r="J59" s="82" t="s">
        <v>84</v>
      </c>
      <c r="K59" s="901"/>
      <c r="L59" s="95" t="e">
        <f>IF(ISTEXT($H59),INDEX(VDSL1[Afname (%)],MATCH($H59,VDSL1[Verdeelsleutel],0))*$K59,"")</f>
        <v>#VALUE!</v>
      </c>
      <c r="M59" s="93" t="e">
        <f>IF(ISTEXT($I59),INDEX(VDSL2[TRHS (%)],MATCH($I59,VDSL2[Verdeelsleutel],0))*$L59,"")</f>
        <v>#VALUE!</v>
      </c>
      <c r="N59" s="93" t="e">
        <f>IF(ISTEXT($I59),INDEX(VDSL2[MS (%)],MATCH($I59,VDSL2[Verdeelsleutel],0))*$L59,"")</f>
        <v>#VALUE!</v>
      </c>
      <c r="O59" s="93" t="e">
        <f>IF(ISTEXT($I59),INDEX(VDSL2[TRLS (%)],MATCH($I59,VDSL2[Verdeelsleutel],0))*$L59,"")</f>
        <v>#VALUE!</v>
      </c>
      <c r="P59" s="93" t="e">
        <f>IF(ISTEXT($I59),INDEX(VDSL2[LS (%)],MATCH($I59,VDSL2[Verdeelsleutel],0))*$L59,"")</f>
        <v>#VALUE!</v>
      </c>
      <c r="Q59" s="93" t="e">
        <f>IF(ISTEXT($J59),INDEX(VDSL3[Afnameklanten op LS met piekmeting (%)],MATCH($J59,VDSL3[Verdeelsleutel],0))*$P59,"")</f>
        <v>#VALUE!</v>
      </c>
      <c r="R59" s="94" t="e">
        <f>IF(ISTEXT($J59),INDEX(VDSL3[Afnameklanten met KM/TT (%)],MATCH($J59,VDSL3[Verdeelsleutel],0))*$P59,"")</f>
        <v>#VALUE!</v>
      </c>
      <c r="S59" s="95" t="e">
        <f>IF(ISTEXT($H59),INDEX(VDSL1[Injectie (%)],MATCH($H59,VDSL1[Verdeelsleutel],0))*$K59,"")</f>
        <v>#VALUE!</v>
      </c>
      <c r="T59" s="591"/>
      <c r="U59" s="1"/>
      <c r="V59" s="1"/>
      <c r="AG59" s="60"/>
    </row>
    <row r="60" spans="1:33" ht="15" customHeight="1">
      <c r="A60" s="81" t="s">
        <v>88</v>
      </c>
      <c r="B60" s="82" t="s">
        <v>84</v>
      </c>
      <c r="C60" s="82" t="s">
        <v>23</v>
      </c>
      <c r="D60" s="82" t="s">
        <v>72</v>
      </c>
      <c r="E60" s="82" t="s">
        <v>90</v>
      </c>
      <c r="F60" s="82" t="s">
        <v>92</v>
      </c>
      <c r="G60" s="83" t="s">
        <v>341</v>
      </c>
      <c r="H60" s="181" t="s">
        <v>84</v>
      </c>
      <c r="I60" s="182" t="s">
        <v>84</v>
      </c>
      <c r="J60" s="82" t="s">
        <v>84</v>
      </c>
      <c r="K60" s="901"/>
      <c r="L60" s="95" t="e">
        <f>IF(ISTEXT($H60),INDEX(VDSL1[Afname (%)],MATCH($H60,VDSL1[Verdeelsleutel],0))*$K60,"")</f>
        <v>#VALUE!</v>
      </c>
      <c r="M60" s="93" t="e">
        <f>IF(ISTEXT($I60),INDEX(VDSL2[TRHS (%)],MATCH($I60,VDSL2[Verdeelsleutel],0))*$L60,"")</f>
        <v>#VALUE!</v>
      </c>
      <c r="N60" s="93" t="e">
        <f>IF(ISTEXT($I60),INDEX(VDSL2[MS (%)],MATCH($I60,VDSL2[Verdeelsleutel],0))*$L60,"")</f>
        <v>#VALUE!</v>
      </c>
      <c r="O60" s="93" t="e">
        <f>IF(ISTEXT($I60),INDEX(VDSL2[TRLS (%)],MATCH($I60,VDSL2[Verdeelsleutel],0))*$L60,"")</f>
        <v>#VALUE!</v>
      </c>
      <c r="P60" s="93" t="e">
        <f>IF(ISTEXT($I60),INDEX(VDSL2[LS (%)],MATCH($I60,VDSL2[Verdeelsleutel],0))*$L60,"")</f>
        <v>#VALUE!</v>
      </c>
      <c r="Q60" s="93" t="e">
        <f>IF(ISTEXT($J60),INDEX(VDSL3[Afnameklanten op LS met piekmeting (%)],MATCH($J60,VDSL3[Verdeelsleutel],0))*$P60,"")</f>
        <v>#VALUE!</v>
      </c>
      <c r="R60" s="94" t="e">
        <f>IF(ISTEXT($J60),INDEX(VDSL3[Afnameklanten met KM/TT (%)],MATCH($J60,VDSL3[Verdeelsleutel],0))*$P60,"")</f>
        <v>#VALUE!</v>
      </c>
      <c r="S60" s="95" t="e">
        <f>IF(ISTEXT($H60),INDEX(VDSL1[Injectie (%)],MATCH($H60,VDSL1[Verdeelsleutel],0))*$K60,"")</f>
        <v>#VALUE!</v>
      </c>
      <c r="T60" s="591"/>
      <c r="U60" s="1"/>
      <c r="V60" s="1"/>
      <c r="AG60" s="60"/>
    </row>
    <row r="61" spans="1:33" ht="15" customHeight="1">
      <c r="A61" s="81" t="s">
        <v>88</v>
      </c>
      <c r="B61" s="82" t="s">
        <v>85</v>
      </c>
      <c r="C61" s="82" t="s">
        <v>23</v>
      </c>
      <c r="D61" s="82" t="s">
        <v>72</v>
      </c>
      <c r="E61" s="82" t="s">
        <v>90</v>
      </c>
      <c r="F61" s="82" t="s">
        <v>92</v>
      </c>
      <c r="G61" s="83" t="s">
        <v>73</v>
      </c>
      <c r="H61" s="181" t="s">
        <v>239</v>
      </c>
      <c r="I61" s="182" t="s">
        <v>230</v>
      </c>
      <c r="J61" s="82" t="s">
        <v>14</v>
      </c>
      <c r="K61" s="901"/>
      <c r="L61" s="95">
        <f>IF(ISTEXT($H61),INDEX(VDSL1[Afname (%)],MATCH($H61,VDSL1[Verdeelsleutel],0))*$K61,"")</f>
        <v>0</v>
      </c>
      <c r="M61" s="93">
        <f>IF(ISTEXT($I61),INDEX(VDSL2[TRHS (%)],MATCH($I61,VDSL2[Verdeelsleutel],0))*$L61,"")</f>
        <v>0</v>
      </c>
      <c r="N61" s="93">
        <f>IF(ISTEXT($I61),INDEX(VDSL2[MS (%)],MATCH($I61,VDSL2[Verdeelsleutel],0))*$L61,"")</f>
        <v>0</v>
      </c>
      <c r="O61" s="93">
        <f>IF(ISTEXT($I61),INDEX(VDSL2[TRLS (%)],MATCH($I61,VDSL2[Verdeelsleutel],0))*$L61,"")</f>
        <v>0</v>
      </c>
      <c r="P61" s="93">
        <f>IF(ISTEXT($I61),INDEX(VDSL2[LS (%)],MATCH($I61,VDSL2[Verdeelsleutel],0))*$L61,"")</f>
        <v>0</v>
      </c>
      <c r="Q61" s="93" t="e">
        <f>IF(ISTEXT($J61),INDEX(VDSL3[Afnameklanten op LS met piekmeting (%)],MATCH($J61,VDSL3[Verdeelsleutel],0))*$P61,"")</f>
        <v>#DIV/0!</v>
      </c>
      <c r="R61" s="94" t="e">
        <f>IF(ISTEXT($J61),INDEX(VDSL3[Afnameklanten met KM/TT (%)],MATCH($J61,VDSL3[Verdeelsleutel],0))*$P61,"")</f>
        <v>#DIV/0!</v>
      </c>
      <c r="S61" s="95">
        <f>IF(ISTEXT($H61),INDEX(VDSL1[Injectie (%)],MATCH($H61,VDSL1[Verdeelsleutel],0))*$K61,"")</f>
        <v>0</v>
      </c>
      <c r="T61" s="591"/>
      <c r="U61" s="1"/>
      <c r="V61" s="1"/>
      <c r="AG61" s="60"/>
    </row>
    <row r="62" spans="1:33" ht="15" customHeight="1">
      <c r="A62" s="81" t="s">
        <v>88</v>
      </c>
      <c r="B62" s="82" t="s">
        <v>85</v>
      </c>
      <c r="C62" s="82" t="s">
        <v>23</v>
      </c>
      <c r="D62" s="82" t="s">
        <v>72</v>
      </c>
      <c r="E62" s="82" t="s">
        <v>90</v>
      </c>
      <c r="F62" s="82" t="s">
        <v>92</v>
      </c>
      <c r="G62" s="83" t="s">
        <v>74</v>
      </c>
      <c r="H62" s="181" t="s">
        <v>239</v>
      </c>
      <c r="I62" s="182" t="s">
        <v>230</v>
      </c>
      <c r="J62" s="82" t="s">
        <v>14</v>
      </c>
      <c r="K62" s="901"/>
      <c r="L62" s="95">
        <f>IF(ISTEXT($H62),INDEX(VDSL1[Afname (%)],MATCH($H62,VDSL1[Verdeelsleutel],0))*$K62,"")</f>
        <v>0</v>
      </c>
      <c r="M62" s="93">
        <f>IF(ISTEXT($I62),INDEX(VDSL2[TRHS (%)],MATCH($I62,VDSL2[Verdeelsleutel],0))*$L62,"")</f>
        <v>0</v>
      </c>
      <c r="N62" s="93">
        <f>IF(ISTEXT($I62),INDEX(VDSL2[MS (%)],MATCH($I62,VDSL2[Verdeelsleutel],0))*$L62,"")</f>
        <v>0</v>
      </c>
      <c r="O62" s="93">
        <f>IF(ISTEXT($I62),INDEX(VDSL2[TRLS (%)],MATCH($I62,VDSL2[Verdeelsleutel],0))*$L62,"")</f>
        <v>0</v>
      </c>
      <c r="P62" s="93">
        <f>IF(ISTEXT($I62),INDEX(VDSL2[LS (%)],MATCH($I62,VDSL2[Verdeelsleutel],0))*$L62,"")</f>
        <v>0</v>
      </c>
      <c r="Q62" s="93" t="e">
        <f>IF(ISTEXT($J62),INDEX(VDSL3[Afnameklanten op LS met piekmeting (%)],MATCH($J62,VDSL3[Verdeelsleutel],0))*$P62,"")</f>
        <v>#DIV/0!</v>
      </c>
      <c r="R62" s="94" t="e">
        <f>IF(ISTEXT($J62),INDEX(VDSL3[Afnameklanten met KM/TT (%)],MATCH($J62,VDSL3[Verdeelsleutel],0))*$P62,"")</f>
        <v>#DIV/0!</v>
      </c>
      <c r="S62" s="95">
        <f>IF(ISTEXT($H62),INDEX(VDSL1[Injectie (%)],MATCH($H62,VDSL1[Verdeelsleutel],0))*$K62,"")</f>
        <v>0</v>
      </c>
      <c r="T62" s="591"/>
      <c r="U62" s="1"/>
      <c r="V62" s="1"/>
      <c r="AG62" s="60"/>
    </row>
    <row r="63" spans="1:33" ht="15" customHeight="1">
      <c r="A63" s="81" t="s">
        <v>88</v>
      </c>
      <c r="B63" s="82" t="s">
        <v>85</v>
      </c>
      <c r="C63" s="82" t="s">
        <v>23</v>
      </c>
      <c r="D63" s="82" t="s">
        <v>72</v>
      </c>
      <c r="E63" s="82" t="s">
        <v>90</v>
      </c>
      <c r="F63" s="82" t="s">
        <v>92</v>
      </c>
      <c r="G63" s="83" t="s">
        <v>75</v>
      </c>
      <c r="H63" s="181" t="s">
        <v>239</v>
      </c>
      <c r="I63" s="182" t="s">
        <v>258</v>
      </c>
      <c r="J63" s="82" t="s">
        <v>14</v>
      </c>
      <c r="K63" s="901"/>
      <c r="L63" s="95">
        <f>IF(ISTEXT($H63),INDEX(VDSL1[Afname (%)],MATCH($H63,VDSL1[Verdeelsleutel],0))*$K63,"")</f>
        <v>0</v>
      </c>
      <c r="M63" s="93" t="e">
        <f>IF(ISTEXT($I63),INDEX(VDSL2[TRHS (%)],MATCH($I63,VDSL2[Verdeelsleutel],0))*$L63,"")</f>
        <v>#VALUE!</v>
      </c>
      <c r="N63" s="93" t="e">
        <f>IF(ISTEXT($I63),INDEX(VDSL2[MS (%)],MATCH($I63,VDSL2[Verdeelsleutel],0))*$L63,"")</f>
        <v>#VALUE!</v>
      </c>
      <c r="O63" s="93" t="e">
        <f>IF(ISTEXT($I63),INDEX(VDSL2[TRLS (%)],MATCH($I63,VDSL2[Verdeelsleutel],0))*$L63,"")</f>
        <v>#VALUE!</v>
      </c>
      <c r="P63" s="93" t="e">
        <f>IF(ISTEXT($I63),INDEX(VDSL2[LS (%)],MATCH($I63,VDSL2[Verdeelsleutel],0))*$L63,"")</f>
        <v>#VALUE!</v>
      </c>
      <c r="Q63" s="93" t="e">
        <f>IF(ISTEXT($J63),INDEX(VDSL3[Afnameklanten op LS met piekmeting (%)],MATCH($J63,VDSL3[Verdeelsleutel],0))*$P63,"")</f>
        <v>#DIV/0!</v>
      </c>
      <c r="R63" s="94" t="e">
        <f>IF(ISTEXT($J63),INDEX(VDSL3[Afnameklanten met KM/TT (%)],MATCH($J63,VDSL3[Verdeelsleutel],0))*$P63,"")</f>
        <v>#DIV/0!</v>
      </c>
      <c r="S63" s="95">
        <f>IF(ISTEXT($H63),INDEX(VDSL1[Injectie (%)],MATCH($H63,VDSL1[Verdeelsleutel],0))*$K63,"")</f>
        <v>0</v>
      </c>
      <c r="T63" s="591"/>
      <c r="U63" s="1"/>
      <c r="V63" s="1"/>
      <c r="AG63" s="60"/>
    </row>
    <row r="64" spans="1:33" ht="15" customHeight="1">
      <c r="A64" s="81" t="s">
        <v>88</v>
      </c>
      <c r="B64" s="82" t="s">
        <v>85</v>
      </c>
      <c r="C64" s="82" t="s">
        <v>23</v>
      </c>
      <c r="D64" s="82" t="s">
        <v>72</v>
      </c>
      <c r="E64" s="82" t="s">
        <v>90</v>
      </c>
      <c r="F64" s="82" t="s">
        <v>92</v>
      </c>
      <c r="G64" s="83" t="s">
        <v>154</v>
      </c>
      <c r="H64" s="181" t="s">
        <v>239</v>
      </c>
      <c r="I64" s="182" t="s">
        <v>258</v>
      </c>
      <c r="J64" s="82" t="s">
        <v>14</v>
      </c>
      <c r="K64" s="901"/>
      <c r="L64" s="95">
        <f>IF(ISTEXT($H64),INDEX(VDSL1[Afname (%)],MATCH($H64,VDSL1[Verdeelsleutel],0))*$K64,"")</f>
        <v>0</v>
      </c>
      <c r="M64" s="93" t="e">
        <f>IF(ISTEXT($I64),INDEX(VDSL2[TRHS (%)],MATCH($I64,VDSL2[Verdeelsleutel],0))*$L64,"")</f>
        <v>#VALUE!</v>
      </c>
      <c r="N64" s="93" t="e">
        <f>IF(ISTEXT($I64),INDEX(VDSL2[MS (%)],MATCH($I64,VDSL2[Verdeelsleutel],0))*$L64,"")</f>
        <v>#VALUE!</v>
      </c>
      <c r="O64" s="93" t="e">
        <f>IF(ISTEXT($I64),INDEX(VDSL2[TRLS (%)],MATCH($I64,VDSL2[Verdeelsleutel],0))*$L64,"")</f>
        <v>#VALUE!</v>
      </c>
      <c r="P64" s="93" t="e">
        <f>IF(ISTEXT($I64),INDEX(VDSL2[LS (%)],MATCH($I64,VDSL2[Verdeelsleutel],0))*$L64,"")</f>
        <v>#VALUE!</v>
      </c>
      <c r="Q64" s="93" t="e">
        <f>IF(ISTEXT($J64),INDEX(VDSL3[Afnameklanten op LS met piekmeting (%)],MATCH($J64,VDSL3[Verdeelsleutel],0))*$P64,"")</f>
        <v>#DIV/0!</v>
      </c>
      <c r="R64" s="94" t="e">
        <f>IF(ISTEXT($J64),INDEX(VDSL3[Afnameklanten met KM/TT (%)],MATCH($J64,VDSL3[Verdeelsleutel],0))*$P64,"")</f>
        <v>#DIV/0!</v>
      </c>
      <c r="S64" s="95">
        <f>IF(ISTEXT($H64),INDEX(VDSL1[Injectie (%)],MATCH($H64,VDSL1[Verdeelsleutel],0))*$K64,"")</f>
        <v>0</v>
      </c>
      <c r="T64" s="591"/>
      <c r="U64" s="1"/>
      <c r="V64" s="1"/>
      <c r="AG64" s="60"/>
    </row>
    <row r="65" spans="1:33" ht="15" customHeight="1">
      <c r="A65" s="81" t="s">
        <v>88</v>
      </c>
      <c r="B65" s="82" t="s">
        <v>85</v>
      </c>
      <c r="C65" s="82" t="s">
        <v>10</v>
      </c>
      <c r="D65" s="82" t="s">
        <v>72</v>
      </c>
      <c r="E65" s="82" t="s">
        <v>90</v>
      </c>
      <c r="F65" s="82" t="s">
        <v>92</v>
      </c>
      <c r="G65" s="83" t="s">
        <v>154</v>
      </c>
      <c r="H65" s="181" t="s">
        <v>239</v>
      </c>
      <c r="I65" s="182" t="s">
        <v>258</v>
      </c>
      <c r="J65" s="82" t="s">
        <v>14</v>
      </c>
      <c r="K65" s="901"/>
      <c r="L65" s="95">
        <f>IF(ISTEXT($H65),INDEX(VDSL1[Afname (%)],MATCH($H65,VDSL1[Verdeelsleutel],0))*$K65,"")</f>
        <v>0</v>
      </c>
      <c r="M65" s="93" t="e">
        <f>IF(ISTEXT($I65),INDEX(VDSL2[TRHS (%)],MATCH($I65,VDSL2[Verdeelsleutel],0))*$L65,"")</f>
        <v>#VALUE!</v>
      </c>
      <c r="N65" s="93" t="e">
        <f>IF(ISTEXT($I65),INDEX(VDSL2[MS (%)],MATCH($I65,VDSL2[Verdeelsleutel],0))*$L65,"")</f>
        <v>#VALUE!</v>
      </c>
      <c r="O65" s="93" t="e">
        <f>IF(ISTEXT($I65),INDEX(VDSL2[TRLS (%)],MATCH($I65,VDSL2[Verdeelsleutel],0))*$L65,"")</f>
        <v>#VALUE!</v>
      </c>
      <c r="P65" s="93" t="e">
        <f>IF(ISTEXT($I65),INDEX(VDSL2[LS (%)],MATCH($I65,VDSL2[Verdeelsleutel],0))*$L65,"")</f>
        <v>#VALUE!</v>
      </c>
      <c r="Q65" s="93" t="e">
        <f>IF(ISTEXT($J65),INDEX(VDSL3[Afnameklanten op LS met piekmeting (%)],MATCH($J65,VDSL3[Verdeelsleutel],0))*$P65,"")</f>
        <v>#DIV/0!</v>
      </c>
      <c r="R65" s="94" t="e">
        <f>IF(ISTEXT($J65),INDEX(VDSL3[Afnameklanten met KM/TT (%)],MATCH($J65,VDSL3[Verdeelsleutel],0))*$P65,"")</f>
        <v>#DIV/0!</v>
      </c>
      <c r="S65" s="95">
        <f>IF(ISTEXT($H65),INDEX(VDSL1[Injectie (%)],MATCH($H65,VDSL1[Verdeelsleutel],0))*$K65,"")</f>
        <v>0</v>
      </c>
      <c r="T65" s="591"/>
      <c r="U65" s="1"/>
      <c r="V65" s="1"/>
      <c r="AG65" s="60"/>
    </row>
    <row r="66" spans="1:33" ht="15" customHeight="1">
      <c r="A66" s="81" t="s">
        <v>88</v>
      </c>
      <c r="B66" s="82" t="s">
        <v>85</v>
      </c>
      <c r="C66" s="82" t="s">
        <v>10</v>
      </c>
      <c r="D66" s="82" t="s">
        <v>72</v>
      </c>
      <c r="E66" s="82" t="s">
        <v>90</v>
      </c>
      <c r="F66" s="82" t="s">
        <v>92</v>
      </c>
      <c r="G66" s="83" t="s">
        <v>77</v>
      </c>
      <c r="H66" s="181" t="s">
        <v>239</v>
      </c>
      <c r="I66" s="182" t="s">
        <v>258</v>
      </c>
      <c r="J66" s="82" t="s">
        <v>14</v>
      </c>
      <c r="K66" s="901"/>
      <c r="L66" s="95">
        <f>IF(ISTEXT($H66),INDEX(VDSL1[Afname (%)],MATCH($H66,VDSL1[Verdeelsleutel],0))*$K66,"")</f>
        <v>0</v>
      </c>
      <c r="M66" s="93" t="e">
        <f>IF(ISTEXT($I66),INDEX(VDSL2[TRHS (%)],MATCH($I66,VDSL2[Verdeelsleutel],0))*$L66,"")</f>
        <v>#VALUE!</v>
      </c>
      <c r="N66" s="93" t="e">
        <f>IF(ISTEXT($I66),INDEX(VDSL2[MS (%)],MATCH($I66,VDSL2[Verdeelsleutel],0))*$L66,"")</f>
        <v>#VALUE!</v>
      </c>
      <c r="O66" s="93" t="e">
        <f>IF(ISTEXT($I66),INDEX(VDSL2[TRLS (%)],MATCH($I66,VDSL2[Verdeelsleutel],0))*$L66,"")</f>
        <v>#VALUE!</v>
      </c>
      <c r="P66" s="93" t="e">
        <f>IF(ISTEXT($I66),INDEX(VDSL2[LS (%)],MATCH($I66,VDSL2[Verdeelsleutel],0))*$L66,"")</f>
        <v>#VALUE!</v>
      </c>
      <c r="Q66" s="93" t="e">
        <f>IF(ISTEXT($J66),INDEX(VDSL3[Afnameklanten op LS met piekmeting (%)],MATCH($J66,VDSL3[Verdeelsleutel],0))*$P66,"")</f>
        <v>#DIV/0!</v>
      </c>
      <c r="R66" s="94" t="e">
        <f>IF(ISTEXT($J66),INDEX(VDSL3[Afnameklanten met KM/TT (%)],MATCH($J66,VDSL3[Verdeelsleutel],0))*$P66,"")</f>
        <v>#DIV/0!</v>
      </c>
      <c r="S66" s="95">
        <f>IF(ISTEXT($H66),INDEX(VDSL1[Injectie (%)],MATCH($H66,VDSL1[Verdeelsleutel],0))*$K66,"")</f>
        <v>0</v>
      </c>
      <c r="T66" s="591"/>
      <c r="U66" s="1"/>
      <c r="V66" s="1"/>
      <c r="AG66" s="60"/>
    </row>
    <row r="67" spans="1:33" ht="15" customHeight="1">
      <c r="A67" s="81" t="s">
        <v>88</v>
      </c>
      <c r="B67" s="82" t="s">
        <v>85</v>
      </c>
      <c r="C67" s="82" t="s">
        <v>23</v>
      </c>
      <c r="D67" s="82" t="s">
        <v>72</v>
      </c>
      <c r="E67" s="82" t="s">
        <v>90</v>
      </c>
      <c r="F67" s="82" t="s">
        <v>92</v>
      </c>
      <c r="G67" s="83" t="s">
        <v>76</v>
      </c>
      <c r="H67" s="181" t="s">
        <v>239</v>
      </c>
      <c r="I67" s="182" t="s">
        <v>258</v>
      </c>
      <c r="J67" s="82" t="s">
        <v>14</v>
      </c>
      <c r="K67" s="901"/>
      <c r="L67" s="95">
        <f>IF(ISTEXT($H67),INDEX(VDSL1[Afname (%)],MATCH($H67,VDSL1[Verdeelsleutel],0))*$K67,"")</f>
        <v>0</v>
      </c>
      <c r="M67" s="93" t="e">
        <f>IF(ISTEXT($I67),INDEX(VDSL2[TRHS (%)],MATCH($I67,VDSL2[Verdeelsleutel],0))*$L67,"")</f>
        <v>#VALUE!</v>
      </c>
      <c r="N67" s="93" t="e">
        <f>IF(ISTEXT($I67),INDEX(VDSL2[MS (%)],MATCH($I67,VDSL2[Verdeelsleutel],0))*$L67,"")</f>
        <v>#VALUE!</v>
      </c>
      <c r="O67" s="93" t="e">
        <f>IF(ISTEXT($I67),INDEX(VDSL2[TRLS (%)],MATCH($I67,VDSL2[Verdeelsleutel],0))*$L67,"")</f>
        <v>#VALUE!</v>
      </c>
      <c r="P67" s="93" t="e">
        <f>IF(ISTEXT($I67),INDEX(VDSL2[LS (%)],MATCH($I67,VDSL2[Verdeelsleutel],0))*$L67,"")</f>
        <v>#VALUE!</v>
      </c>
      <c r="Q67" s="93" t="e">
        <f>IF(ISTEXT($J67),INDEX(VDSL3[Afnameklanten op LS met piekmeting (%)],MATCH($J67,VDSL3[Verdeelsleutel],0))*$P67,"")</f>
        <v>#DIV/0!</v>
      </c>
      <c r="R67" s="94" t="e">
        <f>IF(ISTEXT($J67),INDEX(VDSL3[Afnameklanten met KM/TT (%)],MATCH($J67,VDSL3[Verdeelsleutel],0))*$P67,"")</f>
        <v>#DIV/0!</v>
      </c>
      <c r="S67" s="95">
        <f>IF(ISTEXT($H67),INDEX(VDSL1[Injectie (%)],MATCH($H67,VDSL1[Verdeelsleutel],0))*$K67,"")</f>
        <v>0</v>
      </c>
      <c r="T67" s="591"/>
      <c r="U67" s="1"/>
      <c r="V67" s="1"/>
      <c r="AG67" s="60"/>
    </row>
    <row r="68" spans="1:33" ht="15" customHeight="1">
      <c r="A68" s="81" t="s">
        <v>88</v>
      </c>
      <c r="B68" s="82" t="s">
        <v>85</v>
      </c>
      <c r="C68" s="82" t="s">
        <v>10</v>
      </c>
      <c r="D68" s="82" t="s">
        <v>67</v>
      </c>
      <c r="E68" s="82" t="s">
        <v>90</v>
      </c>
      <c r="F68" s="82" t="s">
        <v>92</v>
      </c>
      <c r="G68" s="379" t="s">
        <v>69</v>
      </c>
      <c r="H68" s="181" t="s">
        <v>239</v>
      </c>
      <c r="I68" s="182" t="s">
        <v>18</v>
      </c>
      <c r="J68" s="82" t="s">
        <v>14</v>
      </c>
      <c r="K68" s="901"/>
      <c r="L68" s="95">
        <f>IF(ISTEXT($H68),INDEX(VDSL1[Afname (%)],MATCH($H68,VDSL1[Verdeelsleutel],0))*$K68,"")</f>
        <v>0</v>
      </c>
      <c r="M68" s="93" t="e">
        <f>IF(ISTEXT($I68),INDEX(VDSL2[TRHS (%)],MATCH($I68,VDSL2[Verdeelsleutel],0))*$L68,"")</f>
        <v>#VALUE!</v>
      </c>
      <c r="N68" s="93" t="e">
        <f>IF(ISTEXT($I68),INDEX(VDSL2[MS (%)],MATCH($I68,VDSL2[Verdeelsleutel],0))*$L68,"")</f>
        <v>#VALUE!</v>
      </c>
      <c r="O68" s="93" t="e">
        <f>IF(ISTEXT($I68),INDEX(VDSL2[TRLS (%)],MATCH($I68,VDSL2[Verdeelsleutel],0))*$L68,"")</f>
        <v>#VALUE!</v>
      </c>
      <c r="P68" s="93" t="e">
        <f>IF(ISTEXT($I68),INDEX(VDSL2[LS (%)],MATCH($I68,VDSL2[Verdeelsleutel],0))*$L68,"")</f>
        <v>#VALUE!</v>
      </c>
      <c r="Q68" s="93" t="e">
        <f>IF(ISTEXT($J68),INDEX(VDSL3[Afnameklanten op LS met piekmeting (%)],MATCH($J68,VDSL3[Verdeelsleutel],0))*$P68,"")</f>
        <v>#DIV/0!</v>
      </c>
      <c r="R68" s="94" t="e">
        <f>IF(ISTEXT($J68),INDEX(VDSL3[Afnameklanten met KM/TT (%)],MATCH($J68,VDSL3[Verdeelsleutel],0))*$P68,"")</f>
        <v>#DIV/0!</v>
      </c>
      <c r="S68" s="95">
        <f>IF(ISTEXT($H68),INDEX(VDSL1[Injectie (%)],MATCH($H68,VDSL1[Verdeelsleutel],0))*$K68,"")</f>
        <v>0</v>
      </c>
      <c r="T68" s="591"/>
      <c r="U68" s="1"/>
      <c r="V68" s="1"/>
      <c r="AG68" s="60"/>
    </row>
    <row r="69" spans="1:33" ht="15" customHeight="1">
      <c r="A69" s="81" t="s">
        <v>88</v>
      </c>
      <c r="B69" s="82" t="s">
        <v>9</v>
      </c>
      <c r="C69" s="82" t="s">
        <v>10</v>
      </c>
      <c r="D69" s="82" t="s">
        <v>72</v>
      </c>
      <c r="E69" s="82" t="s">
        <v>90</v>
      </c>
      <c r="F69" s="82" t="s">
        <v>92</v>
      </c>
      <c r="G69" s="83" t="s">
        <v>80</v>
      </c>
      <c r="H69" s="181" t="s">
        <v>239</v>
      </c>
      <c r="I69" s="182" t="s">
        <v>259</v>
      </c>
      <c r="J69" s="82" t="s">
        <v>14</v>
      </c>
      <c r="K69" s="901"/>
      <c r="L69" s="95">
        <f>IF(ISTEXT($H69),INDEX(VDSL1[Afname (%)],MATCH($H69,VDSL1[Verdeelsleutel],0))*$K69,"")</f>
        <v>0</v>
      </c>
      <c r="M69" s="93" t="e">
        <f>IF(ISTEXT($I69),INDEX(VDSL2[TRHS (%)],MATCH($I69,VDSL2[Verdeelsleutel],0))*$L69,"")</f>
        <v>#VALUE!</v>
      </c>
      <c r="N69" s="93" t="e">
        <f>IF(ISTEXT($I69),INDEX(VDSL2[MS (%)],MATCH($I69,VDSL2[Verdeelsleutel],0))*$L69,"")</f>
        <v>#VALUE!</v>
      </c>
      <c r="O69" s="93" t="e">
        <f>IF(ISTEXT($I69),INDEX(VDSL2[TRLS (%)],MATCH($I69,VDSL2[Verdeelsleutel],0))*$L69,"")</f>
        <v>#VALUE!</v>
      </c>
      <c r="P69" s="93" t="e">
        <f>IF(ISTEXT($I69),INDEX(VDSL2[LS (%)],MATCH($I69,VDSL2[Verdeelsleutel],0))*$L69,"")</f>
        <v>#VALUE!</v>
      </c>
      <c r="Q69" s="93" t="e">
        <f>IF(ISTEXT($J69),INDEX(VDSL3[Afnameklanten op LS met piekmeting (%)],MATCH($J69,VDSL3[Verdeelsleutel],0))*$P69,"")</f>
        <v>#DIV/0!</v>
      </c>
      <c r="R69" s="94" t="e">
        <f>IF(ISTEXT($J69),INDEX(VDSL3[Afnameklanten met KM/TT (%)],MATCH($J69,VDSL3[Verdeelsleutel],0))*$P69,"")</f>
        <v>#DIV/0!</v>
      </c>
      <c r="S69" s="95">
        <f>IF(ISTEXT($H69),INDEX(VDSL1[Injectie (%)],MATCH($H69,VDSL1[Verdeelsleutel],0))*$K69,"")</f>
        <v>0</v>
      </c>
      <c r="T69" s="591"/>
      <c r="U69" s="1"/>
      <c r="V69" s="1"/>
      <c r="AG69" s="60"/>
    </row>
    <row r="70" spans="1:33" ht="15" customHeight="1">
      <c r="A70" s="81" t="s">
        <v>88</v>
      </c>
      <c r="B70" s="82" t="s">
        <v>9</v>
      </c>
      <c r="C70" s="82" t="s">
        <v>10</v>
      </c>
      <c r="D70" s="82" t="s">
        <v>72</v>
      </c>
      <c r="E70" s="82" t="s">
        <v>90</v>
      </c>
      <c r="F70" s="82" t="s">
        <v>92</v>
      </c>
      <c r="G70" s="83" t="s">
        <v>81</v>
      </c>
      <c r="H70" s="181" t="s">
        <v>239</v>
      </c>
      <c r="I70" s="182" t="s">
        <v>259</v>
      </c>
      <c r="J70" s="82" t="s">
        <v>14</v>
      </c>
      <c r="K70" s="901"/>
      <c r="L70" s="95">
        <f>IF(ISTEXT($H70),INDEX(VDSL1[Afname (%)],MATCH($H70,VDSL1[Verdeelsleutel],0))*$K70,"")</f>
        <v>0</v>
      </c>
      <c r="M70" s="93" t="e">
        <f>IF(ISTEXT($I70),INDEX(VDSL2[TRHS (%)],MATCH($I70,VDSL2[Verdeelsleutel],0))*$L70,"")</f>
        <v>#VALUE!</v>
      </c>
      <c r="N70" s="93" t="e">
        <f>IF(ISTEXT($I70),INDEX(VDSL2[MS (%)],MATCH($I70,VDSL2[Verdeelsleutel],0))*$L70,"")</f>
        <v>#VALUE!</v>
      </c>
      <c r="O70" s="93" t="e">
        <f>IF(ISTEXT($I70),INDEX(VDSL2[TRLS (%)],MATCH($I70,VDSL2[Verdeelsleutel],0))*$L70,"")</f>
        <v>#VALUE!</v>
      </c>
      <c r="P70" s="93" t="e">
        <f>IF(ISTEXT($I70),INDEX(VDSL2[LS (%)],MATCH($I70,VDSL2[Verdeelsleutel],0))*$L70,"")</f>
        <v>#VALUE!</v>
      </c>
      <c r="Q70" s="93" t="e">
        <f>IF(ISTEXT($J70),INDEX(VDSL3[Afnameklanten op LS met piekmeting (%)],MATCH($J70,VDSL3[Verdeelsleutel],0))*$P70,"")</f>
        <v>#DIV/0!</v>
      </c>
      <c r="R70" s="94" t="e">
        <f>IF(ISTEXT($J70),INDEX(VDSL3[Afnameklanten met KM/TT (%)],MATCH($J70,VDSL3[Verdeelsleutel],0))*$P70,"")</f>
        <v>#DIV/0!</v>
      </c>
      <c r="S70" s="95">
        <f>IF(ISTEXT($H70),INDEX(VDSL1[Injectie (%)],MATCH($H70,VDSL1[Verdeelsleutel],0))*$K70,"")</f>
        <v>0</v>
      </c>
      <c r="T70" s="591"/>
      <c r="U70" s="1"/>
      <c r="V70" s="1"/>
      <c r="AG70" s="60"/>
    </row>
    <row r="71" spans="1:33" ht="15" customHeight="1">
      <c r="A71" s="81" t="s">
        <v>88</v>
      </c>
      <c r="B71" s="82" t="s">
        <v>9</v>
      </c>
      <c r="C71" s="82" t="s">
        <v>10</v>
      </c>
      <c r="D71" s="82" t="s">
        <v>72</v>
      </c>
      <c r="E71" s="82" t="s">
        <v>90</v>
      </c>
      <c r="F71" s="82" t="s">
        <v>92</v>
      </c>
      <c r="G71" s="83" t="s">
        <v>79</v>
      </c>
      <c r="H71" s="181" t="s">
        <v>239</v>
      </c>
      <c r="I71" s="182" t="s">
        <v>259</v>
      </c>
      <c r="J71" s="82" t="s">
        <v>14</v>
      </c>
      <c r="K71" s="901"/>
      <c r="L71" s="95">
        <f>IF(ISTEXT($H71),INDEX(VDSL1[Afname (%)],MATCH($H71,VDSL1[Verdeelsleutel],0))*$K71,"")</f>
        <v>0</v>
      </c>
      <c r="M71" s="93" t="e">
        <f>IF(ISTEXT($I71),INDEX(VDSL2[TRHS (%)],MATCH($I71,VDSL2[Verdeelsleutel],0))*$L71,"")</f>
        <v>#VALUE!</v>
      </c>
      <c r="N71" s="93" t="e">
        <f>IF(ISTEXT($I71),INDEX(VDSL2[MS (%)],MATCH($I71,VDSL2[Verdeelsleutel],0))*$L71,"")</f>
        <v>#VALUE!</v>
      </c>
      <c r="O71" s="93" t="e">
        <f>IF(ISTEXT($I71),INDEX(VDSL2[TRLS (%)],MATCH($I71,VDSL2[Verdeelsleutel],0))*$L71,"")</f>
        <v>#VALUE!</v>
      </c>
      <c r="P71" s="93" t="e">
        <f>IF(ISTEXT($I71),INDEX(VDSL2[LS (%)],MATCH($I71,VDSL2[Verdeelsleutel],0))*$L71,"")</f>
        <v>#VALUE!</v>
      </c>
      <c r="Q71" s="93" t="e">
        <f>IF(ISTEXT($J71),INDEX(VDSL3[Afnameklanten op LS met piekmeting (%)],MATCH($J71,VDSL3[Verdeelsleutel],0))*$P71,"")</f>
        <v>#DIV/0!</v>
      </c>
      <c r="R71" s="94" t="e">
        <f>IF(ISTEXT($J71),INDEX(VDSL3[Afnameklanten met KM/TT (%)],MATCH($J71,VDSL3[Verdeelsleutel],0))*$P71,"")</f>
        <v>#DIV/0!</v>
      </c>
      <c r="S71" s="95">
        <f>IF(ISTEXT($H71),INDEX(VDSL1[Injectie (%)],MATCH($H71,VDSL1[Verdeelsleutel],0))*$K71,"")</f>
        <v>0</v>
      </c>
      <c r="T71" s="591"/>
      <c r="U71" s="1"/>
      <c r="V71" s="1"/>
      <c r="AG71" s="60"/>
    </row>
    <row r="72" spans="1:33" ht="15" customHeight="1">
      <c r="A72" s="81" t="s">
        <v>88</v>
      </c>
      <c r="B72" s="82" t="s">
        <v>9</v>
      </c>
      <c r="C72" s="82" t="s">
        <v>10</v>
      </c>
      <c r="D72" s="82" t="s">
        <v>67</v>
      </c>
      <c r="E72" s="82" t="s">
        <v>90</v>
      </c>
      <c r="F72" s="82" t="s">
        <v>92</v>
      </c>
      <c r="G72" s="83" t="s">
        <v>70</v>
      </c>
      <c r="H72" s="181" t="s">
        <v>239</v>
      </c>
      <c r="I72" s="182" t="s">
        <v>259</v>
      </c>
      <c r="J72" s="82" t="s">
        <v>14</v>
      </c>
      <c r="K72" s="901"/>
      <c r="L72" s="95">
        <f>IF(ISTEXT($H72),INDEX(VDSL1[Afname (%)],MATCH($H72,VDSL1[Verdeelsleutel],0))*$K72,"")</f>
        <v>0</v>
      </c>
      <c r="M72" s="93" t="e">
        <f>IF(ISTEXT($I72),INDEX(VDSL2[TRHS (%)],MATCH($I72,VDSL2[Verdeelsleutel],0))*$L72,"")</f>
        <v>#VALUE!</v>
      </c>
      <c r="N72" s="93" t="e">
        <f>IF(ISTEXT($I72),INDEX(VDSL2[MS (%)],MATCH($I72,VDSL2[Verdeelsleutel],0))*$L72,"")</f>
        <v>#VALUE!</v>
      </c>
      <c r="O72" s="93" t="e">
        <f>IF(ISTEXT($I72),INDEX(VDSL2[TRLS (%)],MATCH($I72,VDSL2[Verdeelsleutel],0))*$L72,"")</f>
        <v>#VALUE!</v>
      </c>
      <c r="P72" s="93" t="e">
        <f>IF(ISTEXT($I72),INDEX(VDSL2[LS (%)],MATCH($I72,VDSL2[Verdeelsleutel],0))*$L72,"")</f>
        <v>#VALUE!</v>
      </c>
      <c r="Q72" s="93" t="e">
        <f>IF(ISTEXT($J72),INDEX(VDSL3[Afnameklanten op LS met piekmeting (%)],MATCH($J72,VDSL3[Verdeelsleutel],0))*$P72,"")</f>
        <v>#DIV/0!</v>
      </c>
      <c r="R72" s="94" t="e">
        <f>IF(ISTEXT($J72),INDEX(VDSL3[Afnameklanten met KM/TT (%)],MATCH($J72,VDSL3[Verdeelsleutel],0))*$P72,"")</f>
        <v>#DIV/0!</v>
      </c>
      <c r="S72" s="95">
        <f>IF(ISTEXT($H72),INDEX(VDSL1[Injectie (%)],MATCH($H72,VDSL1[Verdeelsleutel],0))*$K72,"")</f>
        <v>0</v>
      </c>
      <c r="T72" s="591"/>
      <c r="U72" s="1"/>
      <c r="V72" s="1"/>
      <c r="AG72" s="60"/>
    </row>
    <row r="73" spans="1:33" ht="15" customHeight="1">
      <c r="A73" s="81" t="s">
        <v>52</v>
      </c>
      <c r="B73" s="82" t="s">
        <v>86</v>
      </c>
      <c r="C73" s="82" t="s">
        <v>10</v>
      </c>
      <c r="D73" s="82" t="s">
        <v>72</v>
      </c>
      <c r="E73" s="82" t="s">
        <v>90</v>
      </c>
      <c r="F73" s="82" t="s">
        <v>92</v>
      </c>
      <c r="G73" s="83" t="s">
        <v>555</v>
      </c>
      <c r="H73" s="181" t="s">
        <v>239</v>
      </c>
      <c r="I73" s="182" t="s">
        <v>14</v>
      </c>
      <c r="J73" s="82" t="s">
        <v>14</v>
      </c>
      <c r="K73" s="901"/>
      <c r="L73" s="95">
        <f>IF(ISTEXT($H73),INDEX(VDSL1[Afname (%)],MATCH($H73,VDSL1[Verdeelsleutel],0))*$K73,"")</f>
        <v>0</v>
      </c>
      <c r="M73" s="93" t="e">
        <f>IF(ISTEXT($I73),INDEX(VDSL2[TRHS (%)],MATCH($I73,VDSL2[Verdeelsleutel],0))*$L73,"")</f>
        <v>#DIV/0!</v>
      </c>
      <c r="N73" s="93" t="e">
        <f>IF(ISTEXT($I73),INDEX(VDSL2[MS (%)],MATCH($I73,VDSL2[Verdeelsleutel],0))*$L73,"")</f>
        <v>#DIV/0!</v>
      </c>
      <c r="O73" s="93" t="e">
        <f>IF(ISTEXT($I73),INDEX(VDSL2[TRLS (%)],MATCH($I73,VDSL2[Verdeelsleutel],0))*$L73,"")</f>
        <v>#DIV/0!</v>
      </c>
      <c r="P73" s="93" t="e">
        <f>IF(ISTEXT($I73),INDEX(VDSL2[LS (%)],MATCH($I73,VDSL2[Verdeelsleutel],0))*$L73,"")</f>
        <v>#DIV/0!</v>
      </c>
      <c r="Q73" s="93" t="e">
        <f>IF(ISTEXT($J73),INDEX(VDSL3[Afnameklanten op LS met piekmeting (%)],MATCH($J73,VDSL3[Verdeelsleutel],0))*$P73,"")</f>
        <v>#DIV/0!</v>
      </c>
      <c r="R73" s="94" t="e">
        <f>IF(ISTEXT($J73),INDEX(VDSL3[Afnameklanten met KM/TT (%)],MATCH($J73,VDSL3[Verdeelsleutel],0))*$P73,"")</f>
        <v>#DIV/0!</v>
      </c>
      <c r="S73" s="95">
        <f>IF(ISTEXT($H73),INDEX(VDSL1[Injectie (%)],MATCH($H73,VDSL1[Verdeelsleutel],0))*$K73,"")</f>
        <v>0</v>
      </c>
      <c r="T73" s="591"/>
      <c r="U73" s="1"/>
      <c r="V73" s="1"/>
      <c r="AG73" s="60"/>
    </row>
    <row r="74" spans="1:33" ht="15" customHeight="1">
      <c r="A74" s="81" t="s">
        <v>52</v>
      </c>
      <c r="B74" s="82" t="s">
        <v>86</v>
      </c>
      <c r="C74" s="82" t="s">
        <v>10</v>
      </c>
      <c r="D74" s="82" t="s">
        <v>72</v>
      </c>
      <c r="E74" s="82" t="s">
        <v>90</v>
      </c>
      <c r="F74" s="82" t="s">
        <v>92</v>
      </c>
      <c r="G74" s="83" t="s">
        <v>556</v>
      </c>
      <c r="H74" s="181" t="s">
        <v>239</v>
      </c>
      <c r="I74" s="182" t="s">
        <v>14</v>
      </c>
      <c r="J74" s="82" t="s">
        <v>14</v>
      </c>
      <c r="K74" s="901"/>
      <c r="L74" s="95">
        <f>IF(ISTEXT($H74),INDEX(VDSL1[Afname (%)],MATCH($H74,VDSL1[Verdeelsleutel],0))*$K74,"")</f>
        <v>0</v>
      </c>
      <c r="M74" s="93" t="e">
        <f>IF(ISTEXT($I74),INDEX(VDSL2[TRHS (%)],MATCH($I74,VDSL2[Verdeelsleutel],0))*$L74,"")</f>
        <v>#DIV/0!</v>
      </c>
      <c r="N74" s="93" t="e">
        <f>IF(ISTEXT($I74),INDEX(VDSL2[MS (%)],MATCH($I74,VDSL2[Verdeelsleutel],0))*$L74,"")</f>
        <v>#DIV/0!</v>
      </c>
      <c r="O74" s="93" t="e">
        <f>IF(ISTEXT($I74),INDEX(VDSL2[TRLS (%)],MATCH($I74,VDSL2[Verdeelsleutel],0))*$L74,"")</f>
        <v>#DIV/0!</v>
      </c>
      <c r="P74" s="93" t="e">
        <f>IF(ISTEXT($I74),INDEX(VDSL2[LS (%)],MATCH($I74,VDSL2[Verdeelsleutel],0))*$L74,"")</f>
        <v>#DIV/0!</v>
      </c>
      <c r="Q74" s="93" t="e">
        <f>IF(ISTEXT($J74),INDEX(VDSL3[Afnameklanten op LS met piekmeting (%)],MATCH($J74,VDSL3[Verdeelsleutel],0))*$P74,"")</f>
        <v>#DIV/0!</v>
      </c>
      <c r="R74" s="94" t="e">
        <f>IF(ISTEXT($J74),INDEX(VDSL3[Afnameklanten met KM/TT (%)],MATCH($J74,VDSL3[Verdeelsleutel],0))*$P74,"")</f>
        <v>#DIV/0!</v>
      </c>
      <c r="S74" s="95">
        <f>IF(ISTEXT($H74),INDEX(VDSL1[Injectie (%)],MATCH($H74,VDSL1[Verdeelsleutel],0))*$K74,"")</f>
        <v>0</v>
      </c>
      <c r="T74" s="591"/>
      <c r="U74" s="1"/>
      <c r="V74" s="1"/>
      <c r="AG74" s="60"/>
    </row>
    <row r="75" spans="1:33" ht="15" customHeight="1">
      <c r="A75" s="81" t="s">
        <v>52</v>
      </c>
      <c r="B75" s="82" t="s">
        <v>86</v>
      </c>
      <c r="C75" s="82" t="s">
        <v>23</v>
      </c>
      <c r="D75" s="82" t="s">
        <v>72</v>
      </c>
      <c r="E75" s="82" t="s">
        <v>90</v>
      </c>
      <c r="F75" s="82" t="s">
        <v>92</v>
      </c>
      <c r="G75" s="83" t="s">
        <v>341</v>
      </c>
      <c r="H75" s="181" t="s">
        <v>239</v>
      </c>
      <c r="I75" s="182" t="s">
        <v>14</v>
      </c>
      <c r="J75" s="82" t="s">
        <v>14</v>
      </c>
      <c r="K75" s="901"/>
      <c r="L75" s="95">
        <f>IF(ISTEXT($H75),INDEX(VDSL1[Afname (%)],MATCH($H75,VDSL1[Verdeelsleutel],0))*$K75,"")</f>
        <v>0</v>
      </c>
      <c r="M75" s="93" t="e">
        <f>IF(ISTEXT($I75),INDEX(VDSL2[TRHS (%)],MATCH($I75,VDSL2[Verdeelsleutel],0))*$L75,"")</f>
        <v>#DIV/0!</v>
      </c>
      <c r="N75" s="93" t="e">
        <f>IF(ISTEXT($I75),INDEX(VDSL2[MS (%)],MATCH($I75,VDSL2[Verdeelsleutel],0))*$L75,"")</f>
        <v>#DIV/0!</v>
      </c>
      <c r="O75" s="93" t="e">
        <f>IF(ISTEXT($I75),INDEX(VDSL2[TRLS (%)],MATCH($I75,VDSL2[Verdeelsleutel],0))*$L75,"")</f>
        <v>#DIV/0!</v>
      </c>
      <c r="P75" s="93" t="e">
        <f>IF(ISTEXT($I75),INDEX(VDSL2[LS (%)],MATCH($I75,VDSL2[Verdeelsleutel],0))*$L75,"")</f>
        <v>#DIV/0!</v>
      </c>
      <c r="Q75" s="93" t="e">
        <f>IF(ISTEXT($J75),INDEX(VDSL3[Afnameklanten op LS met piekmeting (%)],MATCH($J75,VDSL3[Verdeelsleutel],0))*$P75,"")</f>
        <v>#DIV/0!</v>
      </c>
      <c r="R75" s="94" t="e">
        <f>IF(ISTEXT($J75),INDEX(VDSL3[Afnameklanten met KM/TT (%)],MATCH($J75,VDSL3[Verdeelsleutel],0))*$P75,"")</f>
        <v>#DIV/0!</v>
      </c>
      <c r="S75" s="95">
        <f>IF(ISTEXT($H75),INDEX(VDSL1[Injectie (%)],MATCH($H75,VDSL1[Verdeelsleutel],0))*$K75,"")</f>
        <v>0</v>
      </c>
      <c r="T75" s="591"/>
      <c r="U75" s="1"/>
      <c r="V75" s="1"/>
      <c r="AG75" s="60"/>
    </row>
    <row r="76" spans="1:33" ht="15" customHeight="1">
      <c r="A76" s="81" t="s">
        <v>52</v>
      </c>
      <c r="B76" s="82" t="s">
        <v>86</v>
      </c>
      <c r="C76" s="82" t="s">
        <v>10</v>
      </c>
      <c r="D76" s="82" t="s">
        <v>72</v>
      </c>
      <c r="E76" s="82" t="s">
        <v>90</v>
      </c>
      <c r="F76" s="82" t="s">
        <v>92</v>
      </c>
      <c r="G76" s="83" t="s">
        <v>58</v>
      </c>
      <c r="H76" s="181" t="s">
        <v>239</v>
      </c>
      <c r="I76" s="182" t="s">
        <v>14</v>
      </c>
      <c r="J76" s="82" t="s">
        <v>14</v>
      </c>
      <c r="K76" s="901"/>
      <c r="L76" s="95">
        <f>IF(ISTEXT($H76),INDEX(VDSL1[Afname (%)],MATCH($H76,VDSL1[Verdeelsleutel],0))*$K76,"")</f>
        <v>0</v>
      </c>
      <c r="M76" s="93" t="e">
        <f>IF(ISTEXT($I76),INDEX(VDSL2[TRHS (%)],MATCH($I76,VDSL2[Verdeelsleutel],0))*$L76,"")</f>
        <v>#DIV/0!</v>
      </c>
      <c r="N76" s="93" t="e">
        <f>IF(ISTEXT($I76),INDEX(VDSL2[MS (%)],MATCH($I76,VDSL2[Verdeelsleutel],0))*$L76,"")</f>
        <v>#DIV/0!</v>
      </c>
      <c r="O76" s="93" t="e">
        <f>IF(ISTEXT($I76),INDEX(VDSL2[TRLS (%)],MATCH($I76,VDSL2[Verdeelsleutel],0))*$L76,"")</f>
        <v>#DIV/0!</v>
      </c>
      <c r="P76" s="93" t="e">
        <f>IF(ISTEXT($I76),INDEX(VDSL2[LS (%)],MATCH($I76,VDSL2[Verdeelsleutel],0))*$L76,"")</f>
        <v>#DIV/0!</v>
      </c>
      <c r="Q76" s="93" t="e">
        <f>IF(ISTEXT($J76),INDEX(VDSL3[Afnameklanten op LS met piekmeting (%)],MATCH($J76,VDSL3[Verdeelsleutel],0))*$P76,"")</f>
        <v>#DIV/0!</v>
      </c>
      <c r="R76" s="94" t="e">
        <f>IF(ISTEXT($J76),INDEX(VDSL3[Afnameklanten met KM/TT (%)],MATCH($J76,VDSL3[Verdeelsleutel],0))*$P76,"")</f>
        <v>#DIV/0!</v>
      </c>
      <c r="S76" s="95">
        <f>IF(ISTEXT($H76),INDEX(VDSL1[Injectie (%)],MATCH($H76,VDSL1[Verdeelsleutel],0))*$K76,"")</f>
        <v>0</v>
      </c>
      <c r="T76" s="591"/>
      <c r="U76" s="1"/>
      <c r="V76" s="1"/>
      <c r="AG76" s="60"/>
    </row>
    <row r="77" spans="1:33" ht="15" customHeight="1">
      <c r="A77" s="81" t="s">
        <v>52</v>
      </c>
      <c r="B77" s="82" t="s">
        <v>86</v>
      </c>
      <c r="C77" s="82" t="s">
        <v>10</v>
      </c>
      <c r="D77" s="82" t="s">
        <v>72</v>
      </c>
      <c r="E77" s="82" t="s">
        <v>90</v>
      </c>
      <c r="F77" s="82" t="s">
        <v>92</v>
      </c>
      <c r="G77" s="83" t="s">
        <v>57</v>
      </c>
      <c r="H77" s="181" t="s">
        <v>239</v>
      </c>
      <c r="I77" s="182" t="s">
        <v>14</v>
      </c>
      <c r="J77" s="82" t="s">
        <v>14</v>
      </c>
      <c r="K77" s="901"/>
      <c r="L77" s="95">
        <f>IF(ISTEXT($H77),INDEX(VDSL1[Afname (%)],MATCH($H77,VDSL1[Verdeelsleutel],0))*$K77,"")</f>
        <v>0</v>
      </c>
      <c r="M77" s="93" t="e">
        <f>IF(ISTEXT($I77),INDEX(VDSL2[TRHS (%)],MATCH($I77,VDSL2[Verdeelsleutel],0))*$L77,"")</f>
        <v>#DIV/0!</v>
      </c>
      <c r="N77" s="93" t="e">
        <f>IF(ISTEXT($I77),INDEX(VDSL2[MS (%)],MATCH($I77,VDSL2[Verdeelsleutel],0))*$L77,"")</f>
        <v>#DIV/0!</v>
      </c>
      <c r="O77" s="93" t="e">
        <f>IF(ISTEXT($I77),INDEX(VDSL2[TRLS (%)],MATCH($I77,VDSL2[Verdeelsleutel],0))*$L77,"")</f>
        <v>#DIV/0!</v>
      </c>
      <c r="P77" s="93" t="e">
        <f>IF(ISTEXT($I77),INDEX(VDSL2[LS (%)],MATCH($I77,VDSL2[Verdeelsleutel],0))*$L77,"")</f>
        <v>#DIV/0!</v>
      </c>
      <c r="Q77" s="93" t="e">
        <f>IF(ISTEXT($J77),INDEX(VDSL3[Afnameklanten op LS met piekmeting (%)],MATCH($J77,VDSL3[Verdeelsleutel],0))*$P77,"")</f>
        <v>#DIV/0!</v>
      </c>
      <c r="R77" s="94" t="e">
        <f>IF(ISTEXT($J77),INDEX(VDSL3[Afnameklanten met KM/TT (%)],MATCH($J77,VDSL3[Verdeelsleutel],0))*$P77,"")</f>
        <v>#DIV/0!</v>
      </c>
      <c r="S77" s="95">
        <f>IF(ISTEXT($H77),INDEX(VDSL1[Injectie (%)],MATCH($H77,VDSL1[Verdeelsleutel],0))*$K77,"")</f>
        <v>0</v>
      </c>
      <c r="T77" s="591"/>
      <c r="U77" s="1"/>
      <c r="V77" s="1"/>
      <c r="AG77" s="60"/>
    </row>
    <row r="78" spans="1:33" ht="15" customHeight="1">
      <c r="A78" s="81" t="s">
        <v>52</v>
      </c>
      <c r="B78" s="82" t="s">
        <v>86</v>
      </c>
      <c r="C78" s="82" t="s">
        <v>10</v>
      </c>
      <c r="D78" s="82" t="s">
        <v>72</v>
      </c>
      <c r="E78" s="82" t="s">
        <v>90</v>
      </c>
      <c r="F78" s="82" t="s">
        <v>92</v>
      </c>
      <c r="G78" s="83" t="s">
        <v>21</v>
      </c>
      <c r="H78" s="181" t="s">
        <v>239</v>
      </c>
      <c r="I78" s="182" t="s">
        <v>14</v>
      </c>
      <c r="J78" s="82" t="s">
        <v>14</v>
      </c>
      <c r="K78" s="901"/>
      <c r="L78" s="95">
        <f>IF(ISTEXT($H78),INDEX(VDSL1[Afname (%)],MATCH($H78,VDSL1[Verdeelsleutel],0))*$K78,"")</f>
        <v>0</v>
      </c>
      <c r="M78" s="93" t="e">
        <f>IF(ISTEXT($I78),INDEX(VDSL2[TRHS (%)],MATCH($I78,VDSL2[Verdeelsleutel],0))*$L78,"")</f>
        <v>#DIV/0!</v>
      </c>
      <c r="N78" s="93" t="e">
        <f>IF(ISTEXT($I78),INDEX(VDSL2[MS (%)],MATCH($I78,VDSL2[Verdeelsleutel],0))*$L78,"")</f>
        <v>#DIV/0!</v>
      </c>
      <c r="O78" s="93" t="e">
        <f>IF(ISTEXT($I78),INDEX(VDSL2[TRLS (%)],MATCH($I78,VDSL2[Verdeelsleutel],0))*$L78,"")</f>
        <v>#DIV/0!</v>
      </c>
      <c r="P78" s="93" t="e">
        <f>IF(ISTEXT($I78),INDEX(VDSL2[LS (%)],MATCH($I78,VDSL2[Verdeelsleutel],0))*$L78,"")</f>
        <v>#DIV/0!</v>
      </c>
      <c r="Q78" s="93" t="e">
        <f>IF(ISTEXT($J78),INDEX(VDSL3[Afnameklanten op LS met piekmeting (%)],MATCH($J78,VDSL3[Verdeelsleutel],0))*$P78,"")</f>
        <v>#DIV/0!</v>
      </c>
      <c r="R78" s="94" t="e">
        <f>IF(ISTEXT($J78),INDEX(VDSL3[Afnameklanten met KM/TT (%)],MATCH($J78,VDSL3[Verdeelsleutel],0))*$P78,"")</f>
        <v>#DIV/0!</v>
      </c>
      <c r="S78" s="95">
        <f>IF(ISTEXT($H78),INDEX(VDSL1[Injectie (%)],MATCH($H78,VDSL1[Verdeelsleutel],0))*$K78,"")</f>
        <v>0</v>
      </c>
      <c r="T78" s="591"/>
      <c r="U78" s="1"/>
      <c r="V78" s="1"/>
      <c r="AG78" s="60"/>
    </row>
    <row r="79" spans="1:33" ht="15" customHeight="1">
      <c r="A79" s="81" t="s">
        <v>52</v>
      </c>
      <c r="B79" s="82" t="s">
        <v>86</v>
      </c>
      <c r="C79" s="82" t="s">
        <v>10</v>
      </c>
      <c r="D79" s="82" t="s">
        <v>72</v>
      </c>
      <c r="E79" s="82" t="s">
        <v>90</v>
      </c>
      <c r="F79" s="82" t="s">
        <v>92</v>
      </c>
      <c r="G79" s="83" t="s">
        <v>60</v>
      </c>
      <c r="H79" s="181" t="s">
        <v>239</v>
      </c>
      <c r="I79" s="182" t="s">
        <v>14</v>
      </c>
      <c r="J79" s="82" t="s">
        <v>14</v>
      </c>
      <c r="K79" s="901"/>
      <c r="L79" s="95">
        <f>IF(ISTEXT($H79),INDEX(VDSL1[Afname (%)],MATCH($H79,VDSL1[Verdeelsleutel],0))*$K79,"")</f>
        <v>0</v>
      </c>
      <c r="M79" s="93" t="e">
        <f>IF(ISTEXT($I79),INDEX(VDSL2[TRHS (%)],MATCH($I79,VDSL2[Verdeelsleutel],0))*$L79,"")</f>
        <v>#DIV/0!</v>
      </c>
      <c r="N79" s="93" t="e">
        <f>IF(ISTEXT($I79),INDEX(VDSL2[MS (%)],MATCH($I79,VDSL2[Verdeelsleutel],0))*$L79,"")</f>
        <v>#DIV/0!</v>
      </c>
      <c r="O79" s="93" t="e">
        <f>IF(ISTEXT($I79),INDEX(VDSL2[TRLS (%)],MATCH($I79,VDSL2[Verdeelsleutel],0))*$L79,"")</f>
        <v>#DIV/0!</v>
      </c>
      <c r="P79" s="93" t="e">
        <f>IF(ISTEXT($I79),INDEX(VDSL2[LS (%)],MATCH($I79,VDSL2[Verdeelsleutel],0))*$L79,"")</f>
        <v>#DIV/0!</v>
      </c>
      <c r="Q79" s="93" t="e">
        <f>IF(ISTEXT($J79),INDEX(VDSL3[Afnameklanten op LS met piekmeting (%)],MATCH($J79,VDSL3[Verdeelsleutel],0))*$P79,"")</f>
        <v>#DIV/0!</v>
      </c>
      <c r="R79" s="94" t="e">
        <f>IF(ISTEXT($J79),INDEX(VDSL3[Afnameklanten met KM/TT (%)],MATCH($J79,VDSL3[Verdeelsleutel],0))*$P79,"")</f>
        <v>#DIV/0!</v>
      </c>
      <c r="S79" s="95">
        <f>IF(ISTEXT($H79),INDEX(VDSL1[Injectie (%)],MATCH($H79,VDSL1[Verdeelsleutel],0))*$K79,"")</f>
        <v>0</v>
      </c>
      <c r="T79" s="591"/>
      <c r="U79" s="1"/>
      <c r="V79" s="1"/>
      <c r="AG79" s="60"/>
    </row>
    <row r="80" spans="1:33" ht="15" customHeight="1">
      <c r="A80" s="81" t="s">
        <v>52</v>
      </c>
      <c r="B80" s="82" t="s">
        <v>86</v>
      </c>
      <c r="C80" s="82" t="s">
        <v>10</v>
      </c>
      <c r="D80" s="82" t="s">
        <v>72</v>
      </c>
      <c r="E80" s="82" t="s">
        <v>90</v>
      </c>
      <c r="F80" s="82" t="s">
        <v>92</v>
      </c>
      <c r="G80" s="83" t="s">
        <v>64</v>
      </c>
      <c r="H80" s="181" t="s">
        <v>239</v>
      </c>
      <c r="I80" s="182" t="s">
        <v>14</v>
      </c>
      <c r="J80" s="82" t="s">
        <v>14</v>
      </c>
      <c r="K80" s="901"/>
      <c r="L80" s="95">
        <f>IF(ISTEXT($H80),INDEX(VDSL1[Afname (%)],MATCH($H80,VDSL1[Verdeelsleutel],0))*$K80,"")</f>
        <v>0</v>
      </c>
      <c r="M80" s="93" t="e">
        <f>IF(ISTEXT($I80),INDEX(VDSL2[TRHS (%)],MATCH($I80,VDSL2[Verdeelsleutel],0))*$L80,"")</f>
        <v>#DIV/0!</v>
      </c>
      <c r="N80" s="93" t="e">
        <f>IF(ISTEXT($I80),INDEX(VDSL2[MS (%)],MATCH($I80,VDSL2[Verdeelsleutel],0))*$L80,"")</f>
        <v>#DIV/0!</v>
      </c>
      <c r="O80" s="93" t="e">
        <f>IF(ISTEXT($I80),INDEX(VDSL2[TRLS (%)],MATCH($I80,VDSL2[Verdeelsleutel],0))*$L80,"")</f>
        <v>#DIV/0!</v>
      </c>
      <c r="P80" s="93" t="e">
        <f>IF(ISTEXT($I80),INDEX(VDSL2[LS (%)],MATCH($I80,VDSL2[Verdeelsleutel],0))*$L80,"")</f>
        <v>#DIV/0!</v>
      </c>
      <c r="Q80" s="93" t="e">
        <f>IF(ISTEXT($J80),INDEX(VDSL3[Afnameklanten op LS met piekmeting (%)],MATCH($J80,VDSL3[Verdeelsleutel],0))*$P80,"")</f>
        <v>#DIV/0!</v>
      </c>
      <c r="R80" s="94" t="e">
        <f>IF(ISTEXT($J80),INDEX(VDSL3[Afnameklanten met KM/TT (%)],MATCH($J80,VDSL3[Verdeelsleutel],0))*$P80,"")</f>
        <v>#DIV/0!</v>
      </c>
      <c r="S80" s="95">
        <f>IF(ISTEXT($H80),INDEX(VDSL1[Injectie (%)],MATCH($H80,VDSL1[Verdeelsleutel],0))*$K80,"")</f>
        <v>0</v>
      </c>
      <c r="T80" s="591"/>
      <c r="U80" s="1"/>
      <c r="V80" s="1"/>
      <c r="AG80" s="60"/>
    </row>
    <row r="81" spans="1:33" ht="15" customHeight="1">
      <c r="A81" s="81" t="s">
        <v>52</v>
      </c>
      <c r="B81" s="82" t="s">
        <v>86</v>
      </c>
      <c r="C81" s="82" t="s">
        <v>10</v>
      </c>
      <c r="D81" s="82" t="s">
        <v>72</v>
      </c>
      <c r="E81" s="82" t="s">
        <v>90</v>
      </c>
      <c r="F81" s="82" t="s">
        <v>92</v>
      </c>
      <c r="G81" s="83" t="s">
        <v>63</v>
      </c>
      <c r="H81" s="181" t="s">
        <v>239</v>
      </c>
      <c r="I81" s="182" t="s">
        <v>14</v>
      </c>
      <c r="J81" s="82" t="s">
        <v>14</v>
      </c>
      <c r="K81" s="901"/>
      <c r="L81" s="95">
        <f>IF(ISTEXT($H81),INDEX(VDSL1[Afname (%)],MATCH($H81,VDSL1[Verdeelsleutel],0))*$K81,"")</f>
        <v>0</v>
      </c>
      <c r="M81" s="93" t="e">
        <f>IF(ISTEXT($I81),INDEX(VDSL2[TRHS (%)],MATCH($I81,VDSL2[Verdeelsleutel],0))*$L81,"")</f>
        <v>#DIV/0!</v>
      </c>
      <c r="N81" s="93" t="e">
        <f>IF(ISTEXT($I81),INDEX(VDSL2[MS (%)],MATCH($I81,VDSL2[Verdeelsleutel],0))*$L81,"")</f>
        <v>#DIV/0!</v>
      </c>
      <c r="O81" s="93" t="e">
        <f>IF(ISTEXT($I81),INDEX(VDSL2[TRLS (%)],MATCH($I81,VDSL2[Verdeelsleutel],0))*$L81,"")</f>
        <v>#DIV/0!</v>
      </c>
      <c r="P81" s="93" t="e">
        <f>IF(ISTEXT($I81),INDEX(VDSL2[LS (%)],MATCH($I81,VDSL2[Verdeelsleutel],0))*$L81,"")</f>
        <v>#DIV/0!</v>
      </c>
      <c r="Q81" s="93" t="e">
        <f>IF(ISTEXT($J81),INDEX(VDSL3[Afnameklanten op LS met piekmeting (%)],MATCH($J81,VDSL3[Verdeelsleutel],0))*$P81,"")</f>
        <v>#DIV/0!</v>
      </c>
      <c r="R81" s="94" t="e">
        <f>IF(ISTEXT($J81),INDEX(VDSL3[Afnameklanten met KM/TT (%)],MATCH($J81,VDSL3[Verdeelsleutel],0))*$P81,"")</f>
        <v>#DIV/0!</v>
      </c>
      <c r="S81" s="95">
        <f>IF(ISTEXT($H81),INDEX(VDSL1[Injectie (%)],MATCH($H81,VDSL1[Verdeelsleutel],0))*$K81,"")</f>
        <v>0</v>
      </c>
      <c r="T81" s="591"/>
      <c r="U81" s="1"/>
      <c r="V81" s="1"/>
      <c r="AG81" s="60"/>
    </row>
    <row r="82" spans="1:33" ht="15" customHeight="1">
      <c r="A82" s="81" t="s">
        <v>52</v>
      </c>
      <c r="B82" s="82" t="s">
        <v>86</v>
      </c>
      <c r="C82" s="82" t="s">
        <v>10</v>
      </c>
      <c r="D82" s="82" t="s">
        <v>72</v>
      </c>
      <c r="E82" s="82" t="s">
        <v>90</v>
      </c>
      <c r="F82" s="82" t="s">
        <v>92</v>
      </c>
      <c r="G82" s="83" t="s">
        <v>62</v>
      </c>
      <c r="H82" s="181" t="s">
        <v>239</v>
      </c>
      <c r="I82" s="182" t="s">
        <v>14</v>
      </c>
      <c r="J82" s="82" t="s">
        <v>14</v>
      </c>
      <c r="K82" s="901"/>
      <c r="L82" s="95">
        <f>IF(ISTEXT($H82),INDEX(VDSL1[Afname (%)],MATCH($H82,VDSL1[Verdeelsleutel],0))*$K82,"")</f>
        <v>0</v>
      </c>
      <c r="M82" s="93" t="e">
        <f>IF(ISTEXT($I82),INDEX(VDSL2[TRHS (%)],MATCH($I82,VDSL2[Verdeelsleutel],0))*$L82,"")</f>
        <v>#DIV/0!</v>
      </c>
      <c r="N82" s="93" t="e">
        <f>IF(ISTEXT($I82),INDEX(VDSL2[MS (%)],MATCH($I82,VDSL2[Verdeelsleutel],0))*$L82,"")</f>
        <v>#DIV/0!</v>
      </c>
      <c r="O82" s="93" t="e">
        <f>IF(ISTEXT($I82),INDEX(VDSL2[TRLS (%)],MATCH($I82,VDSL2[Verdeelsleutel],0))*$L82,"")</f>
        <v>#DIV/0!</v>
      </c>
      <c r="P82" s="93" t="e">
        <f>IF(ISTEXT($I82),INDEX(VDSL2[LS (%)],MATCH($I82,VDSL2[Verdeelsleutel],0))*$L82,"")</f>
        <v>#DIV/0!</v>
      </c>
      <c r="Q82" s="93" t="e">
        <f>IF(ISTEXT($J82),INDEX(VDSL3[Afnameklanten op LS met piekmeting (%)],MATCH($J82,VDSL3[Verdeelsleutel],0))*$P82,"")</f>
        <v>#DIV/0!</v>
      </c>
      <c r="R82" s="94" t="e">
        <f>IF(ISTEXT($J82),INDEX(VDSL3[Afnameklanten met KM/TT (%)],MATCH($J82,VDSL3[Verdeelsleutel],0))*$P82,"")</f>
        <v>#DIV/0!</v>
      </c>
      <c r="S82" s="95">
        <f>IF(ISTEXT($H82),INDEX(VDSL1[Injectie (%)],MATCH($H82,VDSL1[Verdeelsleutel],0))*$K82,"")</f>
        <v>0</v>
      </c>
      <c r="T82" s="591"/>
      <c r="U82" s="1"/>
      <c r="V82" s="1"/>
      <c r="AG82" s="60"/>
    </row>
    <row r="83" spans="1:33" ht="15" customHeight="1">
      <c r="A83" s="81" t="s">
        <v>52</v>
      </c>
      <c r="B83" s="82" t="s">
        <v>86</v>
      </c>
      <c r="C83" s="82" t="s">
        <v>10</v>
      </c>
      <c r="D83" s="82" t="s">
        <v>72</v>
      </c>
      <c r="E83" s="82" t="s">
        <v>90</v>
      </c>
      <c r="F83" s="82" t="s">
        <v>92</v>
      </c>
      <c r="G83" s="83" t="s">
        <v>61</v>
      </c>
      <c r="H83" s="181" t="s">
        <v>239</v>
      </c>
      <c r="I83" s="182" t="s">
        <v>14</v>
      </c>
      <c r="J83" s="82" t="s">
        <v>14</v>
      </c>
      <c r="K83" s="901"/>
      <c r="L83" s="95">
        <f>IF(ISTEXT($H83),INDEX(VDSL1[Afname (%)],MATCH($H83,VDSL1[Verdeelsleutel],0))*$K83,"")</f>
        <v>0</v>
      </c>
      <c r="M83" s="93" t="e">
        <f>IF(ISTEXT($I83),INDEX(VDSL2[TRHS (%)],MATCH($I83,VDSL2[Verdeelsleutel],0))*$L83,"")</f>
        <v>#DIV/0!</v>
      </c>
      <c r="N83" s="93" t="e">
        <f>IF(ISTEXT($I83),INDEX(VDSL2[MS (%)],MATCH($I83,VDSL2[Verdeelsleutel],0))*$L83,"")</f>
        <v>#DIV/0!</v>
      </c>
      <c r="O83" s="93" t="e">
        <f>IF(ISTEXT($I83),INDEX(VDSL2[TRLS (%)],MATCH($I83,VDSL2[Verdeelsleutel],0))*$L83,"")</f>
        <v>#DIV/0!</v>
      </c>
      <c r="P83" s="93" t="e">
        <f>IF(ISTEXT($I83),INDEX(VDSL2[LS (%)],MATCH($I83,VDSL2[Verdeelsleutel],0))*$L83,"")</f>
        <v>#DIV/0!</v>
      </c>
      <c r="Q83" s="93" t="e">
        <f>IF(ISTEXT($J83),INDEX(VDSL3[Afnameklanten op LS met piekmeting (%)],MATCH($J83,VDSL3[Verdeelsleutel],0))*$P83,"")</f>
        <v>#DIV/0!</v>
      </c>
      <c r="R83" s="94" t="e">
        <f>IF(ISTEXT($J83),INDEX(VDSL3[Afnameklanten met KM/TT (%)],MATCH($J83,VDSL3[Verdeelsleutel],0))*$P83,"")</f>
        <v>#DIV/0!</v>
      </c>
      <c r="S83" s="95">
        <f>IF(ISTEXT($H83),INDEX(VDSL1[Injectie (%)],MATCH($H83,VDSL1[Verdeelsleutel],0))*$K83,"")</f>
        <v>0</v>
      </c>
      <c r="T83" s="591"/>
      <c r="U83" s="1"/>
      <c r="V83" s="1"/>
      <c r="AG83" s="60"/>
    </row>
    <row r="84" spans="1:33" ht="15" customHeight="1">
      <c r="A84" s="81" t="s">
        <v>52</v>
      </c>
      <c r="B84" s="82" t="s">
        <v>86</v>
      </c>
      <c r="C84" s="82" t="s">
        <v>10</v>
      </c>
      <c r="D84" s="82" t="s">
        <v>72</v>
      </c>
      <c r="E84" s="82" t="s">
        <v>90</v>
      </c>
      <c r="F84" s="82" t="s">
        <v>92</v>
      </c>
      <c r="G84" s="83" t="s">
        <v>254</v>
      </c>
      <c r="H84" s="181" t="s">
        <v>239</v>
      </c>
      <c r="I84" s="182" t="s">
        <v>14</v>
      </c>
      <c r="J84" s="82" t="s">
        <v>14</v>
      </c>
      <c r="K84" s="901"/>
      <c r="L84" s="95">
        <f>IF(ISTEXT($H84),INDEX(VDSL1[Afname (%)],MATCH($H84,VDSL1[Verdeelsleutel],0))*$K84,"")</f>
        <v>0</v>
      </c>
      <c r="M84" s="93" t="e">
        <f>IF(ISTEXT($I84),INDEX(VDSL2[TRHS (%)],MATCH($I84,VDSL2[Verdeelsleutel],0))*$L84,"")</f>
        <v>#DIV/0!</v>
      </c>
      <c r="N84" s="93" t="e">
        <f>IF(ISTEXT($I84),INDEX(VDSL2[MS (%)],MATCH($I84,VDSL2[Verdeelsleutel],0))*$L84,"")</f>
        <v>#DIV/0!</v>
      </c>
      <c r="O84" s="93" t="e">
        <f>IF(ISTEXT($I84),INDEX(VDSL2[TRLS (%)],MATCH($I84,VDSL2[Verdeelsleutel],0))*$L84,"")</f>
        <v>#DIV/0!</v>
      </c>
      <c r="P84" s="93" t="e">
        <f>IF(ISTEXT($I84),INDEX(VDSL2[LS (%)],MATCH($I84,VDSL2[Verdeelsleutel],0))*$L84,"")</f>
        <v>#DIV/0!</v>
      </c>
      <c r="Q84" s="93" t="e">
        <f>IF(ISTEXT($J84),INDEX(VDSL3[Afnameklanten op LS met piekmeting (%)],MATCH($J84,VDSL3[Verdeelsleutel],0))*$P84,"")</f>
        <v>#DIV/0!</v>
      </c>
      <c r="R84" s="94" t="e">
        <f>IF(ISTEXT($J84),INDEX(VDSL3[Afnameklanten met KM/TT (%)],MATCH($J84,VDSL3[Verdeelsleutel],0))*$P84,"")</f>
        <v>#DIV/0!</v>
      </c>
      <c r="S84" s="95">
        <f>IF(ISTEXT($H84),INDEX(VDSL1[Injectie (%)],MATCH($H84,VDSL1[Verdeelsleutel],0))*$K84,"")</f>
        <v>0</v>
      </c>
      <c r="T84" s="591"/>
      <c r="U84" s="1"/>
      <c r="V84" s="1"/>
      <c r="AG84" s="60"/>
    </row>
    <row r="85" spans="1:33" ht="15" customHeight="1">
      <c r="A85" s="81" t="s">
        <v>52</v>
      </c>
      <c r="B85" s="82" t="s">
        <v>86</v>
      </c>
      <c r="C85" s="82" t="s">
        <v>10</v>
      </c>
      <c r="D85" s="82" t="s">
        <v>67</v>
      </c>
      <c r="E85" s="82" t="s">
        <v>90</v>
      </c>
      <c r="F85" s="82" t="s">
        <v>92</v>
      </c>
      <c r="G85" s="83" t="s">
        <v>71</v>
      </c>
      <c r="H85" s="181" t="s">
        <v>239</v>
      </c>
      <c r="I85" s="182" t="s">
        <v>14</v>
      </c>
      <c r="J85" s="82" t="s">
        <v>14</v>
      </c>
      <c r="K85" s="901"/>
      <c r="L85" s="95">
        <f>IF(ISTEXT($H85),INDEX(VDSL1[Afname (%)],MATCH($H85,VDSL1[Verdeelsleutel],0))*$K85,"")</f>
        <v>0</v>
      </c>
      <c r="M85" s="93" t="e">
        <f>IF(ISTEXT($I85),INDEX(VDSL2[TRHS (%)],MATCH($I85,VDSL2[Verdeelsleutel],0))*$L85,"")</f>
        <v>#DIV/0!</v>
      </c>
      <c r="N85" s="93" t="e">
        <f>IF(ISTEXT($I85),INDEX(VDSL2[MS (%)],MATCH($I85,VDSL2[Verdeelsleutel],0))*$L85,"")</f>
        <v>#DIV/0!</v>
      </c>
      <c r="O85" s="93" t="e">
        <f>IF(ISTEXT($I85),INDEX(VDSL2[TRLS (%)],MATCH($I85,VDSL2[Verdeelsleutel],0))*$L85,"")</f>
        <v>#DIV/0!</v>
      </c>
      <c r="P85" s="93" t="e">
        <f>IF(ISTEXT($I85),INDEX(VDSL2[LS (%)],MATCH($I85,VDSL2[Verdeelsleutel],0))*$L85,"")</f>
        <v>#DIV/0!</v>
      </c>
      <c r="Q85" s="93" t="e">
        <f>IF(ISTEXT($J85),INDEX(VDSL3[Afnameklanten op LS met piekmeting (%)],MATCH($J85,VDSL3[Verdeelsleutel],0))*$P85,"")</f>
        <v>#DIV/0!</v>
      </c>
      <c r="R85" s="94" t="e">
        <f>IF(ISTEXT($J85),INDEX(VDSL3[Afnameklanten met KM/TT (%)],MATCH($J85,VDSL3[Verdeelsleutel],0))*$P85,"")</f>
        <v>#DIV/0!</v>
      </c>
      <c r="S85" s="95">
        <f>IF(ISTEXT($H85),INDEX(VDSL1[Injectie (%)],MATCH($H85,VDSL1[Verdeelsleutel],0))*$K85,"")</f>
        <v>0</v>
      </c>
      <c r="T85" s="591"/>
      <c r="U85" s="1"/>
      <c r="V85" s="1"/>
      <c r="AG85" s="60"/>
    </row>
    <row r="86" spans="1:33" ht="15" customHeight="1">
      <c r="A86" s="777"/>
      <c r="B86" s="905"/>
      <c r="C86" s="905"/>
      <c r="D86" s="905"/>
      <c r="E86" s="905"/>
      <c r="F86" s="905"/>
      <c r="G86" s="906"/>
      <c r="H86" s="655"/>
      <c r="I86" s="656"/>
      <c r="J86" s="905"/>
      <c r="K86" s="901"/>
      <c r="L86" s="903" t="str">
        <f>IF(ISTEXT($H86),INDEX(VDSL1[Afname (%)],MATCH($H86,VDSL1[Verdeelsleutel],0))*$K86,"")</f>
        <v/>
      </c>
      <c r="M86" s="799" t="str">
        <f>IF(ISTEXT($I86),INDEX(VDSL2[TRHS (%)],MATCH($I86,VDSL2[Verdeelsleutel],0))*$L86,"")</f>
        <v/>
      </c>
      <c r="N86" s="799" t="str">
        <f>IF(ISTEXT($I86),INDEX(VDSL2[MS (%)],MATCH($I86,VDSL2[Verdeelsleutel],0))*$L86,"")</f>
        <v/>
      </c>
      <c r="O86" s="799" t="str">
        <f>IF(ISTEXT($I86),INDEX(VDSL2[TRLS (%)],MATCH($I86,VDSL2[Verdeelsleutel],0))*$L86,"")</f>
        <v/>
      </c>
      <c r="P86" s="799" t="str">
        <f>IF(ISTEXT($I86),INDEX(VDSL2[LS (%)],MATCH($I86,VDSL2[Verdeelsleutel],0))*$L86,"")</f>
        <v/>
      </c>
      <c r="Q86" s="799" t="str">
        <f>IF(ISTEXT($J86),INDEX(VDSL3[Afnameklanten op LS met piekmeting (%)],MATCH($J86,VDSL3[Verdeelsleutel],0))*$P86,"")</f>
        <v/>
      </c>
      <c r="R86" s="800" t="str">
        <f>IF(ISTEXT($J86),INDEX(VDSL3[Afnameklanten met KM/TT (%)],MATCH($J86,VDSL3[Verdeelsleutel],0))*$P86,"")</f>
        <v/>
      </c>
      <c r="S86" s="903" t="str">
        <f>IF(ISTEXT($H86),INDEX(VDSL1[Injectie (%)],MATCH($H86,VDSL1[Verdeelsleutel],0))*$K86,"")</f>
        <v/>
      </c>
      <c r="T86" s="591"/>
      <c r="U86" s="1"/>
      <c r="V86" s="1"/>
      <c r="AG86" s="60"/>
    </row>
    <row r="87" spans="1:33" ht="15" customHeight="1">
      <c r="A87" s="777"/>
      <c r="B87" s="905"/>
      <c r="C87" s="905"/>
      <c r="D87" s="905"/>
      <c r="E87" s="905"/>
      <c r="F87" s="905"/>
      <c r="G87" s="906"/>
      <c r="H87" s="655"/>
      <c r="I87" s="656"/>
      <c r="J87" s="905"/>
      <c r="K87" s="901"/>
      <c r="L87" s="903" t="str">
        <f>IF(ISTEXT($H87),INDEX(VDSL1[Afname (%)],MATCH($H87,VDSL1[Verdeelsleutel],0))*$K87,"")</f>
        <v/>
      </c>
      <c r="M87" s="799" t="str">
        <f>IF(ISTEXT($I87),INDEX(VDSL2[TRHS (%)],MATCH($I87,VDSL2[Verdeelsleutel],0))*$L87,"")</f>
        <v/>
      </c>
      <c r="N87" s="799" t="str">
        <f>IF(ISTEXT($I87),INDEX(VDSL2[MS (%)],MATCH($I87,VDSL2[Verdeelsleutel],0))*$L87,"")</f>
        <v/>
      </c>
      <c r="O87" s="799" t="str">
        <f>IF(ISTEXT($I87),INDEX(VDSL2[TRLS (%)],MATCH($I87,VDSL2[Verdeelsleutel],0))*$L87,"")</f>
        <v/>
      </c>
      <c r="P87" s="799" t="str">
        <f>IF(ISTEXT($I87),INDEX(VDSL2[LS (%)],MATCH($I87,VDSL2[Verdeelsleutel],0))*$L87,"")</f>
        <v/>
      </c>
      <c r="Q87" s="799" t="str">
        <f>IF(ISTEXT($J87),INDEX(VDSL3[Afnameklanten op LS met piekmeting (%)],MATCH($J87,VDSL3[Verdeelsleutel],0))*$P87,"")</f>
        <v/>
      </c>
      <c r="R87" s="800" t="str">
        <f>IF(ISTEXT($J87),INDEX(VDSL3[Afnameklanten met KM/TT (%)],MATCH($J87,VDSL3[Verdeelsleutel],0))*$P87,"")</f>
        <v/>
      </c>
      <c r="S87" s="903" t="str">
        <f>IF(ISTEXT($H87),INDEX(VDSL1[Injectie (%)],MATCH($H87,VDSL1[Verdeelsleutel],0))*$K87,"")</f>
        <v/>
      </c>
      <c r="T87" s="591"/>
      <c r="U87" s="1"/>
      <c r="V87" s="1"/>
      <c r="AG87" s="60"/>
    </row>
    <row r="88" spans="1:33" ht="15" customHeight="1">
      <c r="A88" s="777"/>
      <c r="B88" s="905"/>
      <c r="C88" s="905"/>
      <c r="D88" s="905"/>
      <c r="E88" s="905"/>
      <c r="F88" s="905"/>
      <c r="G88" s="906"/>
      <c r="H88" s="655"/>
      <c r="I88" s="656"/>
      <c r="J88" s="905"/>
      <c r="K88" s="901"/>
      <c r="L88" s="903" t="str">
        <f>IF(ISTEXT($H88),INDEX(VDSL1[Afname (%)],MATCH($H88,VDSL1[Verdeelsleutel],0))*$K88,"")</f>
        <v/>
      </c>
      <c r="M88" s="799" t="str">
        <f>IF(ISTEXT($I88),INDEX(VDSL2[TRHS (%)],MATCH($I88,VDSL2[Verdeelsleutel],0))*$L88,"")</f>
        <v/>
      </c>
      <c r="N88" s="799" t="str">
        <f>IF(ISTEXT($I88),INDEX(VDSL2[MS (%)],MATCH($I88,VDSL2[Verdeelsleutel],0))*$L88,"")</f>
        <v/>
      </c>
      <c r="O88" s="799" t="str">
        <f>IF(ISTEXT($I88),INDEX(VDSL2[TRLS (%)],MATCH($I88,VDSL2[Verdeelsleutel],0))*$L88,"")</f>
        <v/>
      </c>
      <c r="P88" s="799" t="str">
        <f>IF(ISTEXT($I88),INDEX(VDSL2[LS (%)],MATCH($I88,VDSL2[Verdeelsleutel],0))*$L88,"")</f>
        <v/>
      </c>
      <c r="Q88" s="799" t="str">
        <f>IF(ISTEXT($J88),INDEX(VDSL3[Afnameklanten op LS met piekmeting (%)],MATCH($J88,VDSL3[Verdeelsleutel],0))*$P88,"")</f>
        <v/>
      </c>
      <c r="R88" s="800" t="str">
        <f>IF(ISTEXT($J88),INDEX(VDSL3[Afnameklanten met KM/TT (%)],MATCH($J88,VDSL3[Verdeelsleutel],0))*$P88,"")</f>
        <v/>
      </c>
      <c r="S88" s="903" t="str">
        <f>IF(ISTEXT($H88),INDEX(VDSL1[Injectie (%)],MATCH($H88,VDSL1[Verdeelsleutel],0))*$K88,"")</f>
        <v/>
      </c>
      <c r="T88" s="591"/>
      <c r="U88" s="1"/>
      <c r="V88" s="1"/>
      <c r="AG88" s="60"/>
    </row>
    <row r="89" spans="1:33" ht="15" customHeight="1">
      <c r="A89" s="777"/>
      <c r="B89" s="905"/>
      <c r="C89" s="905"/>
      <c r="D89" s="905"/>
      <c r="E89" s="905"/>
      <c r="F89" s="905"/>
      <c r="G89" s="906"/>
      <c r="H89" s="655"/>
      <c r="I89" s="656"/>
      <c r="J89" s="905"/>
      <c r="K89" s="901"/>
      <c r="L89" s="903" t="str">
        <f>IF(ISTEXT($H89),INDEX(VDSL1[Afname (%)],MATCH($H89,VDSL1[Verdeelsleutel],0))*$K89,"")</f>
        <v/>
      </c>
      <c r="M89" s="799" t="str">
        <f>IF(ISTEXT($I89),INDEX(VDSL2[TRHS (%)],MATCH($I89,VDSL2[Verdeelsleutel],0))*$L89,"")</f>
        <v/>
      </c>
      <c r="N89" s="799" t="str">
        <f>IF(ISTEXT($I89),INDEX(VDSL2[MS (%)],MATCH($I89,VDSL2[Verdeelsleutel],0))*$L89,"")</f>
        <v/>
      </c>
      <c r="O89" s="799" t="str">
        <f>IF(ISTEXT($I89),INDEX(VDSL2[TRLS (%)],MATCH($I89,VDSL2[Verdeelsleutel],0))*$L89,"")</f>
        <v/>
      </c>
      <c r="P89" s="799" t="str">
        <f>IF(ISTEXT($I89),INDEX(VDSL2[LS (%)],MATCH($I89,VDSL2[Verdeelsleutel],0))*$L89,"")</f>
        <v/>
      </c>
      <c r="Q89" s="799" t="str">
        <f>IF(ISTEXT($J89),INDEX(VDSL3[Afnameklanten op LS met piekmeting (%)],MATCH($J89,VDSL3[Verdeelsleutel],0))*$P89,"")</f>
        <v/>
      </c>
      <c r="R89" s="800" t="str">
        <f>IF(ISTEXT($J89),INDEX(VDSL3[Afnameklanten met KM/TT (%)],MATCH($J89,VDSL3[Verdeelsleutel],0))*$P89,"")</f>
        <v/>
      </c>
      <c r="S89" s="903" t="str">
        <f>IF(ISTEXT($H89),INDEX(VDSL1[Injectie (%)],MATCH($H89,VDSL1[Verdeelsleutel],0))*$K89,"")</f>
        <v/>
      </c>
      <c r="T89" s="591"/>
      <c r="U89" s="1"/>
      <c r="V89" s="1"/>
      <c r="AG89" s="60"/>
    </row>
    <row r="90" spans="1:33" ht="15" customHeight="1" thickBot="1">
      <c r="A90" s="783"/>
      <c r="B90" s="907"/>
      <c r="C90" s="907"/>
      <c r="D90" s="907"/>
      <c r="E90" s="907"/>
      <c r="F90" s="907"/>
      <c r="G90" s="908"/>
      <c r="H90" s="658"/>
      <c r="I90" s="659"/>
      <c r="J90" s="907"/>
      <c r="K90" s="902"/>
      <c r="L90" s="904" t="str">
        <f>IF(ISTEXT($H90),INDEX(VDSL1[Afname (%)],MATCH($H90,VDSL1[Verdeelsleutel],0))*$K90,"")</f>
        <v/>
      </c>
      <c r="M90" s="810" t="str">
        <f>IF(ISTEXT($I90),INDEX(VDSL2[TRHS (%)],MATCH($I90,VDSL2[Verdeelsleutel],0))*$L90,"")</f>
        <v/>
      </c>
      <c r="N90" s="810" t="str">
        <f>IF(ISTEXT($I90),INDEX(VDSL2[MS (%)],MATCH($I90,VDSL2[Verdeelsleutel],0))*$L90,"")</f>
        <v/>
      </c>
      <c r="O90" s="810" t="str">
        <f>IF(ISTEXT($I90),INDEX(VDSL2[TRLS (%)],MATCH($I90,VDSL2[Verdeelsleutel],0))*$L90,"")</f>
        <v/>
      </c>
      <c r="P90" s="810" t="str">
        <f>IF(ISTEXT($I90),INDEX(VDSL2[LS (%)],MATCH($I90,VDSL2[Verdeelsleutel],0))*$L90,"")</f>
        <v/>
      </c>
      <c r="Q90" s="810" t="str">
        <f>IF(ISTEXT($J90),INDEX(VDSL3[Afnameklanten op LS met piekmeting (%)],MATCH($J90,VDSL3[Verdeelsleutel],0))*$P90,"")</f>
        <v/>
      </c>
      <c r="R90" s="893" t="str">
        <f>IF(ISTEXT($J90),INDEX(VDSL3[Afnameklanten met KM/TT (%)],MATCH($J90,VDSL3[Verdeelsleutel],0))*$P90,"")</f>
        <v/>
      </c>
      <c r="S90" s="904" t="str">
        <f>IF(ISTEXT($H90),INDEX(VDSL1[Injectie (%)],MATCH($H90,VDSL1[Verdeelsleutel],0))*$K90,"")</f>
        <v/>
      </c>
      <c r="T90" s="591"/>
      <c r="U90" s="1"/>
      <c r="V90" s="1"/>
      <c r="AG90" s="60"/>
    </row>
    <row r="91" spans="1:33" ht="15" thickBot="1">
      <c r="A91" s="256"/>
      <c r="B91" s="604"/>
      <c r="C91" s="604"/>
      <c r="D91" s="604"/>
      <c r="E91" s="604"/>
      <c r="F91" s="257"/>
      <c r="G91" s="258" t="s">
        <v>11</v>
      </c>
      <c r="H91" s="568"/>
      <c r="I91" s="238"/>
      <c r="J91" s="238"/>
      <c r="K91" s="569">
        <f t="shared" ref="K91:S91" si="0">SUBTOTAL(9,K$8:K$90)</f>
        <v>0</v>
      </c>
      <c r="L91" s="570" t="e">
        <f t="shared" si="0"/>
        <v>#VALUE!</v>
      </c>
      <c r="M91" s="570" t="e">
        <f t="shared" si="0"/>
        <v>#DIV/0!</v>
      </c>
      <c r="N91" s="570" t="e">
        <f t="shared" si="0"/>
        <v>#VALUE!</v>
      </c>
      <c r="O91" s="570" t="e">
        <f t="shared" si="0"/>
        <v>#VALUE!</v>
      </c>
      <c r="P91" s="570" t="e">
        <f t="shared" si="0"/>
        <v>#VALUE!</v>
      </c>
      <c r="Q91" s="570" t="e">
        <f t="shared" si="0"/>
        <v>#DIV/0!</v>
      </c>
      <c r="R91" s="102" t="e">
        <f t="shared" si="0"/>
        <v>#DIV/0!</v>
      </c>
      <c r="S91" s="570" t="e">
        <f t="shared" si="0"/>
        <v>#VALUE!</v>
      </c>
      <c r="T91" s="591"/>
      <c r="AG91" s="60"/>
    </row>
    <row r="92" spans="1:33" ht="15" thickBot="1">
      <c r="I92" s="308"/>
      <c r="J92" s="308"/>
      <c r="K92" s="308"/>
      <c r="L92" s="308"/>
      <c r="M92" s="585"/>
    </row>
    <row r="93" spans="1:33">
      <c r="A93" s="137"/>
      <c r="B93" s="138"/>
      <c r="C93" s="138"/>
      <c r="D93" s="138"/>
      <c r="E93" s="138"/>
      <c r="F93" s="1563" t="s">
        <v>27</v>
      </c>
      <c r="G93" s="1563"/>
      <c r="H93" s="239"/>
      <c r="I93" s="240"/>
      <c r="J93" s="1249"/>
      <c r="K93" s="304">
        <f>SUMIFS(Tabel2[Totale budget],Tabel2[Kostenindeling 2],"Afschrijvingen")</f>
        <v>0</v>
      </c>
      <c r="L93" s="304" t="e">
        <f>SUMIFS(Tabel2[Afnameklanten (∑)],Tabel2[Kostenindeling 2],"Afschrijvingen")</f>
        <v>#VALUE!</v>
      </c>
      <c r="M93" s="304" t="e">
        <f>SUMIFS(Tabel2[Afnameklanten op TRHS (∑)],Tabel2[Kostenindeling 2],"Afschrijvingen")</f>
        <v>#DIV/0!</v>
      </c>
      <c r="N93" s="304" t="e">
        <f>SUMIFS(Tabel2[Afnameklanten op MS (∑)],Tabel2[Kostenindeling 2],"Afschrijvingen")</f>
        <v>#VALUE!</v>
      </c>
      <c r="O93" s="304" t="e">
        <f>SUMIFS(Tabel2[Afnameklanten op TRLS (∑)],Tabel2[Kostenindeling 2],"Afschrijvingen")</f>
        <v>#VALUE!</v>
      </c>
      <c r="P93" s="304" t="e">
        <f>SUMIFS(Tabel2[Afnameklanten op LS (∑)],Tabel2[Kostenindeling 2],"Afschrijvingen")</f>
        <v>#VALUE!</v>
      </c>
      <c r="Q93" s="293" t="e">
        <f>SUMIFS(Tabel2[Afnameklanten op LS met piekmeting (∑)],Tabel2[Kostenindeling 2],"Afschrijvingen")</f>
        <v>#DIV/0!</v>
      </c>
      <c r="R93" s="1253" t="e">
        <f>SUMIFS(Tabel2[Afnameklanten met klassieke/terugdraaiende meter (∑)],Tabel2[Kostenindeling 2],"Afschrijvingen")</f>
        <v>#DIV/0!</v>
      </c>
      <c r="S93" s="1254" t="e">
        <f>SUMIFS(Tabel2[Injectieklanten (∑)],Tabel2[Kostenindeling 2],"Afschrijvingen")</f>
        <v>#VALUE!</v>
      </c>
      <c r="T93" s="591"/>
      <c r="AG93" s="60"/>
    </row>
    <row r="94" spans="1:33">
      <c r="A94" s="139"/>
      <c r="B94" s="140"/>
      <c r="C94" s="140"/>
      <c r="D94" s="140"/>
      <c r="E94" s="140"/>
      <c r="F94" s="1564" t="s">
        <v>196</v>
      </c>
      <c r="G94" s="1564"/>
      <c r="H94" s="241"/>
      <c r="I94" s="242"/>
      <c r="J94" s="1250"/>
      <c r="K94" s="305">
        <f>SUMIFS(Tabel2[Totale budget],Tabel2[Tariefcomponent],"Netgebruik",Tabel2[Kostenrubriek],"&lt;&gt;Marge",Tabel2[Kostenrubriek],"&lt;&gt;Budgettair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0</v>
      </c>
      <c r="L94" s="305" t="e">
        <f>SUMIFS(Tabel2[Afnameklanten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M94" s="305" t="e">
        <f>SUMIFS(Tabel2[Afnameklanten op TRHS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N94" s="305" t="e">
        <f>SUMIFS(Tabel2[Afnameklanten op MS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O94" s="305" t="e">
        <f>SUMIFS(Tabel2[Afnameklanten op TRLS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P94" s="305" t="e">
        <f>SUMIFS(Tabel2[Afnameklanten op 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Q94" s="294" t="e">
        <f>SUMIFS(Tabel2[Afnameklanten op LS met piekmeting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R94" s="1255" t="e">
        <f>SUMIFS(Tabel2[Afnameklanten met klassieke/terugdraaiende meter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S94" s="1256" t="e">
        <f>SUMIFS(Tabel2[Injectieklanten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T94" s="591"/>
      <c r="V94" s="252"/>
      <c r="AG94" s="60"/>
    </row>
    <row r="95" spans="1:33">
      <c r="A95" s="139"/>
      <c r="B95" s="140"/>
      <c r="C95" s="140"/>
      <c r="D95" s="140"/>
      <c r="E95" s="140"/>
      <c r="F95" s="612" t="s">
        <v>67</v>
      </c>
      <c r="G95" s="612"/>
      <c r="H95" s="241"/>
      <c r="I95" s="242"/>
      <c r="J95" s="1250"/>
      <c r="K95" s="305">
        <f>SUMIFS(Tabel2[Totale budget],Tabel2[Kostenindeling 2],"Afbouw van regulatoire saldi")</f>
        <v>0</v>
      </c>
      <c r="L95" s="305">
        <f>SUMIFS(Tabel2[Afnameklanten (∑)],Tabel2[Kostenindeling 2],"Afbouw van regulatoire saldi")</f>
        <v>0</v>
      </c>
      <c r="M95" s="305" t="e">
        <f>SUMIFS(Tabel2[Afnameklanten op TRHS (∑)],Tabel2[Kostenindeling 2],"Afbouw van regulatoire saldi")</f>
        <v>#VALUE!</v>
      </c>
      <c r="N95" s="305" t="e">
        <f>SUMIFS(Tabel2[Afnameklanten op MS (∑)],Tabel2[Kostenindeling 2],"Afbouw van regulatoire saldi")</f>
        <v>#VALUE!</v>
      </c>
      <c r="O95" s="305" t="e">
        <f>SUMIFS(Tabel2[Afnameklanten op TRLS (∑)],Tabel2[Kostenindeling 2],"Afbouw van regulatoire saldi")</f>
        <v>#VALUE!</v>
      </c>
      <c r="P95" s="305" t="e">
        <f>SUMIFS(Tabel2[Afnameklanten op LS (∑)],Tabel2[Kostenindeling 2],"Afbouw van regulatoire saldi")</f>
        <v>#VALUE!</v>
      </c>
      <c r="Q95" s="294" t="e">
        <f>SUMIFS(Tabel2[Afnameklanten op LS met piekmeting (∑)],Tabel2[Kostenindeling 2],"Afbouw van regulatoire saldi")</f>
        <v>#VALUE!</v>
      </c>
      <c r="R95" s="1255" t="e">
        <f>SUMIFS(Tabel2[Afnameklanten met klassieke/terugdraaiende meter (∑)],Tabel2[Kostenindeling 2],"Afbouw van regulatoire saldi")</f>
        <v>#VALUE!</v>
      </c>
      <c r="S95" s="1256">
        <f>SUMIFS(Tabel2[Injectieklanten (∑)],Tabel2[Kostenindeling 2],"Afbouw van regulatoire saldi")</f>
        <v>0</v>
      </c>
      <c r="T95" s="591"/>
      <c r="AG95" s="60"/>
    </row>
    <row r="96" spans="1:33">
      <c r="A96" s="139"/>
      <c r="B96" s="140"/>
      <c r="C96" s="140"/>
      <c r="D96" s="140"/>
      <c r="E96" s="140"/>
      <c r="F96" s="612" t="s">
        <v>85</v>
      </c>
      <c r="G96" s="612"/>
      <c r="H96" s="241"/>
      <c r="I96" s="242"/>
      <c r="J96" s="1250"/>
      <c r="K96" s="305">
        <f>SUMIFS(Tabel2[Totale budget],Tabel2[Tariefcomponent],"Openbare dienstverplichtingen")</f>
        <v>0</v>
      </c>
      <c r="L96" s="305">
        <f>SUMIFS(Tabel2[Afnameklanten (∑)],Tabel2[Tariefcomponent],"Openbare dienstverplichtingen")</f>
        <v>0</v>
      </c>
      <c r="M96" s="305" t="e">
        <f>SUMIFS(Tabel2[Afnameklanten op TRHS (∑)],Tabel2[Tariefcomponent],"Openbare dienstverplichtingen")</f>
        <v>#VALUE!</v>
      </c>
      <c r="N96" s="305" t="e">
        <f>SUMIFS(Tabel2[Afnameklanten op MS (∑)],Tabel2[Tariefcomponent],"Openbare dienstverplichtingen")</f>
        <v>#VALUE!</v>
      </c>
      <c r="O96" s="305" t="e">
        <f>SUMIFS(Tabel2[Afnameklanten op TRLS (∑)],Tabel2[Tariefcomponent],"Openbare dienstverplichtingen")</f>
        <v>#VALUE!</v>
      </c>
      <c r="P96" s="305" t="e">
        <f>SUMIFS(Tabel2[Afnameklanten op LS (∑)],Tabel2[Tariefcomponent],"Openbare dienstverplichtingen")</f>
        <v>#VALUE!</v>
      </c>
      <c r="Q96" s="294" t="e">
        <f>SUMIFS(Tabel2[Afnameklanten op LS met piekmeting (∑)],Tabel2[Tariefcomponent],"Openbare dienstverplichtingen")</f>
        <v>#DIV/0!</v>
      </c>
      <c r="R96" s="1255" t="e">
        <f>SUMIFS(Tabel2[Afnameklanten met klassieke/terugdraaiende meter (∑)],Tabel2[Tariefcomponent],"Openbare dienstverplichtingen")</f>
        <v>#DIV/0!</v>
      </c>
      <c r="S96" s="1256">
        <f>SUMIFS(Tabel2[Injectieklanten (∑)],Tabel2[Tariefcomponent],"Openbare dienstverplichtingen")</f>
        <v>0</v>
      </c>
      <c r="T96" s="591"/>
      <c r="V96" s="592" t="s">
        <v>195</v>
      </c>
      <c r="AG96" s="60"/>
    </row>
    <row r="97" spans="1:33">
      <c r="A97" s="359"/>
      <c r="B97" s="360"/>
      <c r="C97" s="360"/>
      <c r="D97" s="360"/>
      <c r="E97" s="360"/>
      <c r="F97" s="361" t="s">
        <v>336</v>
      </c>
      <c r="G97" s="361"/>
      <c r="H97" s="362"/>
      <c r="I97" s="363"/>
      <c r="J97" s="1251"/>
      <c r="K97" s="365">
        <f>SUMIFS(Tabel2[Totale budget],Tabel2[Tariefcomponent],"Openbare dienstverplichtingen",Tabel2[Kostenrubriek],"&lt;&gt;Afbouw van regulatoire saldi binnen de tariefcomponent 'Openbare dienstverplichtingen'")</f>
        <v>0</v>
      </c>
      <c r="L97" s="365">
        <f>SUMIFS(Tabel2[Afnameklanten (∑)],Tabel2[Tariefcomponent],"Openbare dienstverplichtingen",Tabel2[Kostenrubriek],"&lt;&gt;Afbouw van regulatoire saldi binnen de tariefcomponent 'Openbare dienstverplichtingen'")</f>
        <v>0</v>
      </c>
      <c r="M97" s="365" t="e">
        <f>SUMIFS(Tabel2[Afnameklanten op TRHS (∑)],Tabel2[Tariefcomponent],"Openbare dienstverplichtingen",Tabel2[Kostenrubriek],"&lt;&gt;Afbouw van regulatoire saldi binnen de tariefcomponent 'Openbare dienstverplichtingen'")</f>
        <v>#VALUE!</v>
      </c>
      <c r="N97" s="365" t="e">
        <f>SUMIFS(Tabel2[Afnameklanten op MS (∑)],Tabel2[Tariefcomponent],"Openbare dienstverplichtingen",Tabel2[Kostenrubriek],"&lt;&gt;Afbouw van regulatoire saldi binnen de tariefcomponent 'Openbare dienstverplichtingen'")</f>
        <v>#VALUE!</v>
      </c>
      <c r="O97" s="365" t="e">
        <f>SUMIFS(Tabel2[Afnameklanten op TRLS (∑)],Tabel2[Tariefcomponent],"Openbare dienstverplichtingen",Tabel2[Kostenrubriek],"&lt;&gt;Afbouw van regulatoire saldi binnen de tariefcomponent 'Openbare dienstverplichtingen'")</f>
        <v>#VALUE!</v>
      </c>
      <c r="P97" s="365" t="e">
        <f>SUMIFS(Tabel2[Afnameklanten op LS (∑)],Tabel2[Tariefcomponent],"Openbare dienstverplichtingen",Tabel2[Kostenrubriek],"&lt;&gt;Afbouw van regulatoire saldi binnen de tariefcomponent 'Openbare dienstverplichtingen'")</f>
        <v>#VALUE!</v>
      </c>
      <c r="Q97" s="364" t="e">
        <f>SUMIFS(Tabel2[Afnameklanten op LS met piekmeting (∑)],Tabel2[Tariefcomponent],"Openbare dienstverplichtingen",Tabel2[Kostenrubriek],"&lt;&gt;Afbouw van regulatoire saldi binnen de tariefcomponent 'Openbare dienstverplichtingen'")</f>
        <v>#DIV/0!</v>
      </c>
      <c r="R97" s="1257" t="e">
        <f>SUMIFS(Tabel2[Afnameklanten met klassieke/terugdraaiende meter (∑)],Tabel2[Tariefcomponent],"Openbare dienstverplichtingen",Tabel2[Kostenrubriek],"&lt;&gt;Afbouw van regulatoire saldi binnen de tariefcomponent 'Openbare dienstverplichtingen'")</f>
        <v>#DIV/0!</v>
      </c>
      <c r="S97" s="1258">
        <f>SUMIFS(Tabel2[Injectieklanten (∑)],Tabel2[Tariefcomponent],"Openbare dienstverplichtingen",Tabel2[Kostenrubriek],"&lt;&gt;Afbouw van regulatoire saldi binnen de tariefcomponent 'Openbare dienstverplichtingen'")</f>
        <v>0</v>
      </c>
      <c r="T97" s="591"/>
      <c r="V97" s="592"/>
      <c r="AG97" s="60"/>
    </row>
    <row r="98" spans="1:33">
      <c r="A98" s="359"/>
      <c r="B98" s="360"/>
      <c r="C98" s="360"/>
      <c r="D98" s="360"/>
      <c r="E98" s="360"/>
      <c r="F98" s="361" t="s">
        <v>9</v>
      </c>
      <c r="G98" s="361"/>
      <c r="H98" s="362"/>
      <c r="I98" s="363"/>
      <c r="J98" s="1251"/>
      <c r="K98" s="365">
        <f>SUMIFS(Tabel2[Totale budget],Tabel2[Tariefcomponent],"Toeslagen")</f>
        <v>0</v>
      </c>
      <c r="L98" s="365">
        <f>SUMIFS(Tabel2[Afnameklanten (∑)],Tabel2[Tariefcomponent],"Toeslagen")</f>
        <v>0</v>
      </c>
      <c r="M98" s="365" t="e">
        <f>SUMIFS(Tabel2[Afnameklanten op TRHS (∑)],Tabel2[Tariefcomponent],"Toeslagen")</f>
        <v>#VALUE!</v>
      </c>
      <c r="N98" s="365" t="e">
        <f>SUMIFS(Tabel2[Afnameklanten op MS (∑)],Tabel2[Tariefcomponent],"Toeslagen")</f>
        <v>#VALUE!</v>
      </c>
      <c r="O98" s="365" t="e">
        <f>SUMIFS(Tabel2[Afnameklanten op TRLS (∑)],Tabel2[Tariefcomponent],"Toeslagen")</f>
        <v>#VALUE!</v>
      </c>
      <c r="P98" s="365" t="e">
        <f>SUMIFS(Tabel2[Afnameklanten op LS (∑)],Tabel2[Tariefcomponent],"Toeslagen")</f>
        <v>#VALUE!</v>
      </c>
      <c r="Q98" s="364" t="e">
        <f>SUMIFS(Tabel2[Afnameklanten op LS met piekmeting (∑)],Tabel2[Tariefcomponent],"Toeslagen")</f>
        <v>#DIV/0!</v>
      </c>
      <c r="R98" s="1257" t="e">
        <f>SUMIFS(Tabel2[Afnameklanten met klassieke/terugdraaiende meter (∑)],Tabel2[Tariefcomponent],"Toeslagen")</f>
        <v>#DIV/0!</v>
      </c>
      <c r="S98" s="1258">
        <f>SUMIFS(Tabel2[Injectieklanten (∑)],Tabel2[Tariefcomponent],"Toeslagen")</f>
        <v>0</v>
      </c>
      <c r="T98" s="591"/>
      <c r="V98" s="592"/>
      <c r="AG98" s="60"/>
    </row>
    <row r="99" spans="1:33" ht="15" thickBot="1">
      <c r="A99" s="141"/>
      <c r="B99" s="142"/>
      <c r="C99" s="142"/>
      <c r="D99" s="142"/>
      <c r="E99" s="142"/>
      <c r="F99" s="142" t="s">
        <v>564</v>
      </c>
      <c r="G99" s="143"/>
      <c r="H99" s="243"/>
      <c r="I99" s="244"/>
      <c r="J99" s="1252"/>
      <c r="K99" s="307">
        <f>SUMIFS(Tabel2[Totale budget],Tabel2[Subactiviteit],"Transmissie",Tabel2[Tariefcomponent],"Netgebruik")</f>
        <v>0</v>
      </c>
      <c r="L99" s="307">
        <f>SUMIFS(Tabel2[Afnameklanten (∑)],Tabel2[Subactiviteit],"Transmissie",Tabel2[Tariefcomponent],"Netgebruik")</f>
        <v>0</v>
      </c>
      <c r="M99" s="307" t="e">
        <f>SUMIFS(Tabel2[Afnameklanten op TRHS (∑)],Tabel2[Subactiviteit],"Transmissie",Tabel2[Tariefcomponent],"Netgebruik")</f>
        <v>#VALUE!</v>
      </c>
      <c r="N99" s="307" t="e">
        <f>SUMIFS(Tabel2[Afnameklanten op MS (∑)],Tabel2[Subactiviteit],"Transmissie",Tabel2[Tariefcomponent],"Netgebruik")</f>
        <v>#VALUE!</v>
      </c>
      <c r="O99" s="307" t="e">
        <f>SUMIFS(Tabel2[Afnameklanten op TRLS (∑)],Tabel2[Subactiviteit],"Transmissie",Tabel2[Tariefcomponent],"Netgebruik")</f>
        <v>#VALUE!</v>
      </c>
      <c r="P99" s="307" t="e">
        <f>SUMIFS(Tabel2[Afnameklanten op LS (∑)],Tabel2[Subactiviteit],"Transmissie",Tabel2[Tariefcomponent],"Netgebruik")</f>
        <v>#VALUE!</v>
      </c>
      <c r="Q99" s="306" t="e">
        <f>SUMIFS(Tabel2[Afnameklanten op LS met piekmeting (∑)],Tabel2[Subactiviteit],"Transmissie",Tabel2[Tariefcomponent],"Netgebruik")</f>
        <v>#DIV/0!</v>
      </c>
      <c r="R99" s="1259" t="e">
        <f>SUMIFS(Tabel2[Afnameklanten met klassieke/terugdraaiende meter (∑)],Tabel2[Subactiviteit],"Transmissie",Tabel2[Tariefcomponent],"Netgebruik")</f>
        <v>#DIV/0!</v>
      </c>
      <c r="S99" s="1260">
        <f>SUMIFS(Tabel2[Injectieklanten (∑)],Tabel2[Subactiviteit],"Transmissie",Tabel2[Tariefcomponent],"Netgebruik")</f>
        <v>0</v>
      </c>
      <c r="T99" s="591"/>
      <c r="AG99" s="60"/>
    </row>
  </sheetData>
  <sheetProtection algorithmName="SHA-512" hashValue="ZIzLylfiPL1UOiUbdUPgZj7zZoGaCtLeTNELcp8XOYA3rcuNy7prPJturkwQ2aFuQtiAxEb4kGE67Z56SZgSDw==" saltValue="HEfNdzKhliKQtmyQvicE1A==" spinCount="100000" sheet="1" objects="1" scenarios="1" insertRows="0" deleteRows="0" sort="0" autoFilter="0"/>
  <mergeCells count="5">
    <mergeCell ref="E4:F4"/>
    <mergeCell ref="A1:G1"/>
    <mergeCell ref="F93:G93"/>
    <mergeCell ref="F94:G94"/>
    <mergeCell ref="H4:I4"/>
  </mergeCells>
  <phoneticPr fontId="50" type="noConversion"/>
  <conditionalFormatting sqref="D99">
    <cfRule type="expression" dxfId="175" priority="5" stopIfTrue="1">
      <formula>$C99="Exogeen"</formula>
    </cfRule>
  </conditionalFormatting>
  <conditionalFormatting sqref="L8:L90 S8:S90">
    <cfRule type="expression" dxfId="174" priority="3">
      <formula>$H8=""</formula>
    </cfRule>
  </conditionalFormatting>
  <conditionalFormatting sqref="M8:R90">
    <cfRule type="expression" dxfId="173" priority="2">
      <formula>$I8=""</formula>
    </cfRule>
  </conditionalFormatting>
  <dataValidations count="13">
    <dataValidation type="list" allowBlank="1" showInputMessage="1" showErrorMessage="1" sqref="AJ8" xr:uid="{00000000-0002-0000-0600-000000000000}">
      <formula1>INDIRECT("Keuze_Activiteit")</formula1>
    </dataValidation>
    <dataValidation type="list" allowBlank="1" showInputMessage="1" showErrorMessage="1" sqref="AK8" xr:uid="{00000000-0002-0000-0600-000001000000}">
      <formula1>INDIRECT("Keuze_Subactiviteit")</formula1>
    </dataValidation>
    <dataValidation type="list" allowBlank="1" showInputMessage="1" showErrorMessage="1" sqref="AL8" xr:uid="{00000000-0002-0000-0600-000002000000}">
      <formula1>INDIRECT("Keuze_TariefcomponentN")</formula1>
    </dataValidation>
    <dataValidation type="list" allowBlank="1" showInputMessage="1" showErrorMessage="1" sqref="AM8" xr:uid="{00000000-0002-0000-0600-000003000000}">
      <formula1>INDIRECT("Keuze_TariefcomponentO")</formula1>
    </dataValidation>
    <dataValidation type="list" allowBlank="1" showInputMessage="1" showErrorMessage="1" sqref="A8:A90" xr:uid="{00000000-0002-0000-0600-000004000000}">
      <formula1>"Distributie,Transmissie"</formula1>
    </dataValidation>
    <dataValidation type="list" allowBlank="1" showInputMessage="1" showErrorMessage="1" sqref="B8:B90" xr:uid="{00000000-0002-0000-0600-000005000000}">
      <formula1>"Netgebruik,Reactieve energie,Databeheer,Openbare dienstverplichtingen,Overige transmissie"</formula1>
    </dataValidation>
    <dataValidation type="list" allowBlank="1" showInputMessage="1" showErrorMessage="1" sqref="C8:C90" xr:uid="{00000000-0002-0000-0600-000006000000}">
      <formula1>"Endogeen,Exogeen"</formula1>
    </dataValidation>
    <dataValidation type="list" allowBlank="1" showInputMessage="1" showErrorMessage="1" sqref="D8:D90" xr:uid="{00000000-0002-0000-0600-000007000000}">
      <formula1>"Afschrijvingen,Netto-operationele kosten,Afbouw van regulatoire saldi,Marge"</formula1>
    </dataValidation>
    <dataValidation type="list" allowBlank="1" showInputMessage="1" showErrorMessage="1" sqref="E8:E90" xr:uid="{00000000-0002-0000-0600-000008000000}">
      <formula1>"Direct,Indirect"</formula1>
    </dataValidation>
    <dataValidation type="list" allowBlank="1" showInputMessage="1" showErrorMessage="1" sqref="F8:F90" xr:uid="{00000000-0002-0000-0600-000009000000}">
      <formula1>"Capaciteitsgerelateerd,Niet-capaciteitsgerelateerd"</formula1>
    </dataValidation>
    <dataValidation type="list" allowBlank="1" showInputMessage="1" showErrorMessage="1" sqref="H8:H90" xr:uid="{D3B7681F-8B02-45E6-BB61-E063E41AC7A0}">
      <formula1>INDIRECT("VDSL1[Verdeelsleutel]")</formula1>
    </dataValidation>
    <dataValidation type="list" allowBlank="1" showInputMessage="1" showErrorMessage="1" sqref="I8:I90" xr:uid="{DC1D5A81-764B-4B8B-AED9-A8F42FC44E04}">
      <formula1>INDIRECT("VDSL2[Verdeelsleutel]")</formula1>
    </dataValidation>
    <dataValidation type="list" allowBlank="1" showInputMessage="1" showErrorMessage="1" sqref="J8:J90" xr:uid="{97680AB4-2033-4EFF-B454-B0B05C4F7857}">
      <formula1>INDIRECT("VDSL3[Verdeelsleutel]")</formula1>
    </dataValidation>
  </dataValidations>
  <pageMargins left="0.7" right="0.7" top="0.75" bottom="0.75" header="0.3" footer="0.3"/>
  <pageSetup paperSize="9" orientation="portrait" r:id="rId1"/>
  <ignoredErrors>
    <ignoredError sqref="M96:R96" evalError="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8"/>
  <dimension ref="A1:W59"/>
  <sheetViews>
    <sheetView zoomScaleNormal="100" workbookViewId="0">
      <selection activeCell="E4" sqref="E4:F4"/>
    </sheetView>
  </sheetViews>
  <sheetFormatPr defaultColWidth="20.7265625" defaultRowHeight="14.5"/>
  <cols>
    <col min="1" max="1" width="40.7265625" style="1" customWidth="1"/>
    <col min="2" max="9" width="20.7265625" style="1"/>
    <col min="10" max="15" width="20.7265625" style="1" customWidth="1"/>
    <col min="16" max="16384" width="20.7265625" style="1"/>
  </cols>
  <sheetData>
    <row r="1" spans="1:10" ht="18.5" thickBot="1">
      <c r="A1" s="1425" t="s">
        <v>219</v>
      </c>
      <c r="B1" s="1426"/>
      <c r="C1" s="1426"/>
      <c r="D1" s="1426"/>
      <c r="E1" s="1426"/>
      <c r="F1" s="1426"/>
      <c r="G1" s="1426"/>
      <c r="H1" s="1426"/>
      <c r="I1" s="1426"/>
      <c r="J1" s="1494"/>
    </row>
    <row r="2" spans="1:10" ht="18">
      <c r="A2" s="52"/>
      <c r="B2" s="52"/>
      <c r="C2" s="52"/>
      <c r="D2" s="52"/>
      <c r="E2" s="52"/>
      <c r="F2" s="63"/>
      <c r="G2" s="63"/>
    </row>
    <row r="3" spans="1:10" ht="15" thickBot="1">
      <c r="A3" s="54"/>
      <c r="B3" s="54"/>
      <c r="C3" s="54"/>
      <c r="D3" s="54"/>
      <c r="E3" s="55"/>
      <c r="F3" s="64"/>
      <c r="G3" s="64"/>
    </row>
    <row r="4" spans="1:10" ht="15" thickBot="1">
      <c r="A4" s="56"/>
      <c r="C4" s="57" t="s">
        <v>6</v>
      </c>
      <c r="D4" s="56"/>
      <c r="E4" s="1420" t="str">
        <f>DNB</f>
        <v>Naam distributienetbeheerder</v>
      </c>
      <c r="F4" s="1422"/>
      <c r="G4" s="66"/>
    </row>
    <row r="7" spans="1:10" ht="50.25" customHeight="1" thickBot="1">
      <c r="A7" s="254" t="s">
        <v>82</v>
      </c>
      <c r="B7" s="155" t="s">
        <v>101</v>
      </c>
      <c r="C7" s="156" t="s">
        <v>323</v>
      </c>
      <c r="D7" s="144" t="s">
        <v>309</v>
      </c>
      <c r="E7" s="144" t="s">
        <v>277</v>
      </c>
      <c r="F7" s="273" t="s">
        <v>310</v>
      </c>
      <c r="G7" s="273" t="s">
        <v>307</v>
      </c>
      <c r="H7" s="273" t="s">
        <v>549</v>
      </c>
      <c r="I7" s="273" t="s">
        <v>278</v>
      </c>
    </row>
    <row r="8" spans="1:10">
      <c r="A8" s="148" t="s">
        <v>83</v>
      </c>
      <c r="B8" s="261">
        <f>SUMIFS(Tabel2[Totale budget],Tabel2[Tariefcomponent],$A8)</f>
        <v>0</v>
      </c>
      <c r="C8" s="172" t="e">
        <f>SUMIFS(Tabel2[Afnameklanten op TRHS (∑)],Tabel2[Tariefcomponent],$A8)</f>
        <v>#DIV/0!</v>
      </c>
      <c r="D8" s="262" t="e">
        <f>SUMIFS(Tabel2[Afnameklanten op MS (∑)],Tabel2[Tariefcomponent],$A8)</f>
        <v>#VALUE!</v>
      </c>
      <c r="E8" s="262" t="e">
        <f>SUMIFS(Tabel2[Afnameklanten op TRLS (∑)],Tabel2[Tariefcomponent],$A8)</f>
        <v>#VALUE!</v>
      </c>
      <c r="F8" s="263" t="e">
        <f>SUMIFS(Tabel2[Afnameklanten op LS (∑)],Tabel2[Tariefcomponent],$A8)</f>
        <v>#VALUE!</v>
      </c>
      <c r="G8" s="263" t="e">
        <f>SUMIFS(Tabel2[Afnameklanten op LS met piekmeting (∑)],Tabel2[Tariefcomponent],$A8)</f>
        <v>#DIV/0!</v>
      </c>
      <c r="H8" s="263" t="e">
        <f>SUMIFS(Tabel2[Afnameklanten met klassieke/terugdraaiende meter (∑)],Tabel2[Tariefcomponent],$A8)</f>
        <v>#DIV/0!</v>
      </c>
      <c r="I8" s="263" t="e">
        <f>SUMIFS(Tabel2[Injectieklanten (∑)],Tabel2[Tariefcomponent],$A8)</f>
        <v>#VALUE!</v>
      </c>
    </row>
    <row r="9" spans="1:10">
      <c r="A9" s="132" t="s">
        <v>13</v>
      </c>
      <c r="B9" s="264">
        <f>SUMIFS(Tabel2[Totale budget],Tabel2[Tariefcomponent],$A9)</f>
        <v>0</v>
      </c>
      <c r="C9" s="174" t="e">
        <f>SUMIFS(Tabel2[Afnameklanten op TRHS (∑)],Tabel2[Tariefcomponent],$A9)</f>
        <v>#VALUE!</v>
      </c>
      <c r="D9" s="265" t="e">
        <f>SUMIFS(Tabel2[Afnameklanten op MS (∑)],Tabel2[Tariefcomponent],$A9)</f>
        <v>#VALUE!</v>
      </c>
      <c r="E9" s="265" t="e">
        <f>SUMIFS(Tabel2[Afnameklanten op TRLS (∑)],Tabel2[Tariefcomponent],$A9)</f>
        <v>#VALUE!</v>
      </c>
      <c r="F9" s="266"/>
      <c r="G9" s="266"/>
      <c r="H9" s="266"/>
      <c r="I9" s="266"/>
    </row>
    <row r="10" spans="1:10">
      <c r="A10" s="132" t="s">
        <v>84</v>
      </c>
      <c r="B10" s="264">
        <f>SUMIFS(Tabel2[Totale budget],Tabel2[Tariefcomponent],$A10)</f>
        <v>0</v>
      </c>
      <c r="C10" s="174" t="e">
        <f>SUMIFS(Tabel2[Afnameklanten op TRHS (∑)],Tabel2[Tariefcomponent],$A10)</f>
        <v>#VALUE!</v>
      </c>
      <c r="D10" s="265" t="e">
        <f>SUMIFS(Tabel2[Afnameklanten op MS (∑)],Tabel2[Tariefcomponent],$A10)</f>
        <v>#VALUE!</v>
      </c>
      <c r="E10" s="265" t="e">
        <f>SUMIFS(Tabel2[Afnameklanten op TRLS (∑)],Tabel2[Tariefcomponent],$A10)</f>
        <v>#VALUE!</v>
      </c>
      <c r="F10" s="267" t="e">
        <f>SUMIFS(Tabel2[Afnameklanten op LS (∑)],Tabel2[Tariefcomponent],$A10)</f>
        <v>#VALUE!</v>
      </c>
      <c r="G10" s="267" t="e">
        <f>SUMIFS(Tabel2[Afnameklanten op LS met piekmeting (∑)],Tabel2[Tariefcomponent],$A10)</f>
        <v>#VALUE!</v>
      </c>
      <c r="H10" s="267" t="e">
        <f>SUMIFS(Tabel2[Afnameklanten met klassieke/terugdraaiende meter (∑)],Tabel2[Tariefcomponent],$A10)</f>
        <v>#VALUE!</v>
      </c>
      <c r="I10" s="267" t="e">
        <f>SUMIFS(Tabel2[Injectieklanten (∑)],Tabel2[Tariefcomponent],$A10)</f>
        <v>#VALUE!</v>
      </c>
    </row>
    <row r="11" spans="1:10">
      <c r="A11" s="132" t="s">
        <v>85</v>
      </c>
      <c r="B11" s="264">
        <f>SUMIFS(Tabel2[Totale budget],Tabel2[Tariefcomponent],$A11)</f>
        <v>0</v>
      </c>
      <c r="C11" s="174" t="e">
        <f>SUMIFS(Tabel2[Afnameklanten op TRHS (∑)],Tabel2[Tariefcomponent],$A11)</f>
        <v>#VALUE!</v>
      </c>
      <c r="D11" s="265" t="e">
        <f>SUMIFS(Tabel2[Afnameklanten op MS (∑)],Tabel2[Tariefcomponent],$A11)</f>
        <v>#VALUE!</v>
      </c>
      <c r="E11" s="265" t="e">
        <f>SUMIFS(Tabel2[Afnameklanten op TRLS (∑)],Tabel2[Tariefcomponent],$A11)</f>
        <v>#VALUE!</v>
      </c>
      <c r="F11" s="267" t="e">
        <f>SUMIFS(Tabel2[Afnameklanten op LS (∑)],Tabel2[Tariefcomponent],$A11)</f>
        <v>#VALUE!</v>
      </c>
      <c r="G11" s="267" t="e">
        <f>SUMIFS(Tabel2[Afnameklanten op LS met piekmeting (∑)],Tabel2[Tariefcomponent],$A11)</f>
        <v>#DIV/0!</v>
      </c>
      <c r="H11" s="267" t="e">
        <f>SUMIFS(Tabel2[Afnameklanten met klassieke/terugdraaiende meter (∑)],Tabel2[Tariefcomponent],$A11)</f>
        <v>#DIV/0!</v>
      </c>
      <c r="I11" s="266"/>
    </row>
    <row r="12" spans="1:10">
      <c r="A12" s="132" t="s">
        <v>9</v>
      </c>
      <c r="B12" s="264">
        <f>SUMIFS(Tabel2[Totale budget],Tabel2[Tariefcomponent],$A12)</f>
        <v>0</v>
      </c>
      <c r="C12" s="174" t="e">
        <f>SUMIFS(Tabel2[Afnameklanten op TRHS (∑)],Tabel2[Tariefcomponent],$A12)</f>
        <v>#VALUE!</v>
      </c>
      <c r="D12" s="265" t="e">
        <f>SUMIFS(Tabel2[Afnameklanten op MS (∑)],Tabel2[Tariefcomponent],$A12)</f>
        <v>#VALUE!</v>
      </c>
      <c r="E12" s="265" t="e">
        <f>SUMIFS(Tabel2[Afnameklanten op TRLS (∑)],Tabel2[Tariefcomponent],$A12)</f>
        <v>#VALUE!</v>
      </c>
      <c r="F12" s="267" t="e">
        <f>SUMIFS(Tabel2[Afnameklanten op LS (∑)],Tabel2[Tariefcomponent],$A12)</f>
        <v>#VALUE!</v>
      </c>
      <c r="G12" s="267" t="e">
        <f>SUMIFS(Tabel2[Afnameklanten op LS met piekmeting (∑)],Tabel2[Tariefcomponent],$A12)</f>
        <v>#DIV/0!</v>
      </c>
      <c r="H12" s="267" t="e">
        <f>SUMIFS(Tabel2[Afnameklanten met klassieke/terugdraaiende meter (∑)],Tabel2[Tariefcomponent],$A12)</f>
        <v>#DIV/0!</v>
      </c>
      <c r="I12" s="266"/>
    </row>
    <row r="13" spans="1:10">
      <c r="A13" s="133" t="s">
        <v>86</v>
      </c>
      <c r="B13" s="268"/>
      <c r="C13" s="176"/>
      <c r="D13" s="269"/>
      <c r="E13" s="269"/>
      <c r="F13" s="270"/>
      <c r="G13" s="270"/>
      <c r="H13" s="270"/>
      <c r="I13" s="274"/>
    </row>
    <row r="14" spans="1:10">
      <c r="A14" s="346" t="s">
        <v>560</v>
      </c>
      <c r="B14" s="264">
        <f>SUMIFS(Tabel2[Totale budget],Tabel2[Tariefcomponent],$A$13,Tabel2[Kostenrubriek],"&lt;&gt;Tarief voor openbare dienstverplichtingen voor de financiering van groenestroomcertificaten")</f>
        <v>0</v>
      </c>
      <c r="C14" s="174" t="e">
        <f>SUMIFS(Tabel2[Afnameklanten op TRHS (∑)],Tabel2[Tariefcomponent],$A$13,Tabel2[Kostenrubriek],"&lt;&gt;Tarief voor openbare dienstverplichtingen voor de financiering van groenestroomcertificaten")</f>
        <v>#DIV/0!</v>
      </c>
      <c r="D14" s="265" t="e">
        <f>SUMIFS(Tabel2[Afnameklanten op MS (∑)],Tabel2[Tariefcomponent],$A$13,Tabel2[Kostenrubriek],"&lt;&gt;Tarief voor openbare dienstverplichtingen voor de financiering van groenestroomcertificaten")</f>
        <v>#DIV/0!</v>
      </c>
      <c r="E14" s="265" t="e">
        <f>SUMIFS(Tabel2[Afnameklanten op TRLS (∑)],Tabel2[Tariefcomponent],$A$13,Tabel2[Kostenrubriek],"&lt;&gt;Tarief voor openbare dienstverplichtingen voor de financiering van groenestroomcertificaten")</f>
        <v>#DIV/0!</v>
      </c>
      <c r="F14" s="267" t="e">
        <f>SUMIFS(Tabel2[Afnameklanten op LS (∑)],Tabel2[Tariefcomponent],$A$13,Tabel2[Kostenrubriek],"&lt;&gt;Tarief voor openbare dienstverplichtingen voor de financiering van groenestroomcertificaten")</f>
        <v>#DIV/0!</v>
      </c>
      <c r="G14" s="267" t="e">
        <f>SUMIFS(Tabel2[Afnameklanten op LS met piekmeting (∑)],Tabel2[Tariefcomponent],$A$13,Tabel2[Kostenrubriek],"&lt;&gt;Tarief voor openbare dienstverplichtingen voor de financiering van groenestroomcertificaten")</f>
        <v>#DIV/0!</v>
      </c>
      <c r="H14" s="267" t="e">
        <f>SUMIFS(Tabel2[Afnameklanten met klassieke/terugdraaiende meter (∑)],Tabel2[Tariefcomponent],$A$13,Tabel2[Kostenrubriek],"&lt;&gt;Tarief voor openbare dienstverplichtingen voor de financiering van groenestroomcertificaten")</f>
        <v>#DIV/0!</v>
      </c>
      <c r="I14" s="266"/>
    </row>
    <row r="15" spans="1:10" ht="15" thickBot="1">
      <c r="A15" s="346" t="s">
        <v>322</v>
      </c>
      <c r="B15" s="264">
        <f>SUMIFS(Tabel2[Totale budget],Tabel2[Tariefcomponent],$A$13,Tabel2[Kostenrubriek],"Tarief voor openbare dienstverplichtingen voor de financiering van groenestroomcertificaten")</f>
        <v>0</v>
      </c>
      <c r="C15" s="174" t="e">
        <f>SUMIFS(Tabel2[Afnameklanten op TRHS (∑)],Tabel2[Tariefcomponent],$A$13,Tabel2[Kostenrubriek],"Tarief voor openbare dienstverplichtingen voor de financiering van groenestroomcertificaten")</f>
        <v>#DIV/0!</v>
      </c>
      <c r="D15" s="265" t="e">
        <f>SUMIFS(Tabel2[Afnameklanten op MS (∑)],Tabel2[Tariefcomponent],$A$13,Tabel2[Kostenrubriek],"Tarief voor openbare dienstverplichtingen voor de financiering van groenestroomcertificaten")</f>
        <v>#DIV/0!</v>
      </c>
      <c r="E15" s="265" t="e">
        <f>SUMIFS(Tabel2[Afnameklanten op TRLS (∑)],Tabel2[Tariefcomponent],$A$13,Tabel2[Kostenrubriek],"Tarief voor openbare dienstverplichtingen voor de financiering van groenestroomcertificaten")</f>
        <v>#DIV/0!</v>
      </c>
      <c r="F15" s="267" t="e">
        <f>SUMIFS(Tabel2[Afnameklanten op LS (∑)],Tabel2[Tariefcomponent],$A$13,Tabel2[Kostenrubriek],"Tarief voor openbare dienstverplichtingen voor de financiering van groenestroomcertificaten")</f>
        <v>#DIV/0!</v>
      </c>
      <c r="G15" s="267" t="e">
        <f>SUMIFS(Tabel2[Afnameklanten op LS met piekmeting (∑)],Tabel2[Tariefcomponent],$A$13,Tabel2[Kostenrubriek],"Tarief voor openbare dienstverplichtingen voor de financiering van groenestroomcertificaten")</f>
        <v>#DIV/0!</v>
      </c>
      <c r="H15" s="267" t="e">
        <f>SUMIFS(Tabel2[Afnameklanten met klassieke/terugdraaiende meter (∑)],Tabel2[Tariefcomponent],$A$13,Tabel2[Kostenrubriek],"Tarief voor openbare dienstverplichtingen voor de financiering van groenestroomcertificaten")</f>
        <v>#DIV/0!</v>
      </c>
      <c r="I15" s="266"/>
    </row>
    <row r="16" spans="1:10">
      <c r="A16" s="275" t="s">
        <v>11</v>
      </c>
      <c r="B16" s="276">
        <f>SUBTOTAL(109,Tabel3A[Totale budget])</f>
        <v>0</v>
      </c>
      <c r="C16" s="277" t="e">
        <f>SUBTOTAL(109,Tabel3A[Afnameklanten  op TRHS (∑)])</f>
        <v>#DIV/0!</v>
      </c>
      <c r="D16" s="278" t="e">
        <f>SUBTOTAL(109,Tabel3A[Afnameklanten op MS (∑)])</f>
        <v>#VALUE!</v>
      </c>
      <c r="E16" s="278" t="e">
        <f>SUBTOTAL(109,Tabel3A[Afnameklanten op TRLS (∑)])</f>
        <v>#VALUE!</v>
      </c>
      <c r="F16" s="279" t="e">
        <f>SUBTOTAL(109,Tabel3A[Afnameklanten op LS (∑)])</f>
        <v>#VALUE!</v>
      </c>
      <c r="G16" s="279" t="e">
        <f>SUBTOTAL(109,Tabel3A[Afnameklanten op LS met piekmeting (∑)])</f>
        <v>#DIV/0!</v>
      </c>
      <c r="H16" s="279" t="e">
        <f>SUBTOTAL(109,Tabel3A[Afnameklanten met klassieke/terugdraaiende meter (∑)])</f>
        <v>#DIV/0!</v>
      </c>
      <c r="I16" s="279" t="e">
        <f>SUBTOTAL(109,Tabel3A[Injectieklanten (∑)])</f>
        <v>#VALUE!</v>
      </c>
    </row>
    <row r="19" spans="1:23" ht="15" thickBot="1"/>
    <row r="20" spans="1:23" ht="44" thickBot="1">
      <c r="A20" s="130" t="s">
        <v>82</v>
      </c>
      <c r="B20" s="155" t="s">
        <v>109</v>
      </c>
      <c r="C20" s="75" t="s">
        <v>308</v>
      </c>
      <c r="D20" s="156" t="s">
        <v>102</v>
      </c>
      <c r="E20" s="145" t="s">
        <v>132</v>
      </c>
      <c r="F20" s="76" t="s">
        <v>309</v>
      </c>
      <c r="G20" s="156" t="s">
        <v>133</v>
      </c>
      <c r="H20" s="144" t="s">
        <v>269</v>
      </c>
      <c r="I20" s="145" t="s">
        <v>270</v>
      </c>
      <c r="J20" s="76" t="s">
        <v>277</v>
      </c>
      <c r="K20" s="572" t="s">
        <v>103</v>
      </c>
      <c r="L20" s="350" t="s">
        <v>310</v>
      </c>
      <c r="M20" s="156" t="s">
        <v>119</v>
      </c>
      <c r="N20" s="144" t="s">
        <v>547</v>
      </c>
      <c r="O20" s="271" t="s">
        <v>120</v>
      </c>
      <c r="P20" s="271" t="s">
        <v>548</v>
      </c>
      <c r="Q20" s="145" t="s">
        <v>121</v>
      </c>
      <c r="R20" s="272" t="s">
        <v>278</v>
      </c>
      <c r="S20" s="146" t="s">
        <v>209</v>
      </c>
      <c r="T20" s="146" t="s">
        <v>324</v>
      </c>
      <c r="U20" s="146" t="s">
        <v>271</v>
      </c>
      <c r="V20" s="146" t="s">
        <v>104</v>
      </c>
      <c r="W20" s="147" t="s">
        <v>105</v>
      </c>
    </row>
    <row r="21" spans="1:23" ht="16.5">
      <c r="A21" s="132" t="s">
        <v>83</v>
      </c>
      <c r="B21" s="149" t="s">
        <v>110</v>
      </c>
      <c r="C21" s="312" t="e">
        <f>$C$8*1*INDEX(Rekenvolumes[Afnameklanten op TRHS (∑)],8)/REKENVOLUMES!$E$27/INDEX(Rekenvolumes[Afnameklanten op TRHS (∑)],8)</f>
        <v>#DIV/0!</v>
      </c>
      <c r="D21" s="313" t="e">
        <f t="shared" ref="D21:E23" si="0">$C21</f>
        <v>#DIV/0!</v>
      </c>
      <c r="E21" s="314" t="e">
        <f t="shared" si="0"/>
        <v>#DIV/0!</v>
      </c>
      <c r="F21" s="315" t="e">
        <f>$D$8*1*(INDEX(Rekenvolumes[Afnameklanten op MS (∑)],8)-(1-FACTOR_DOORVOER)*INDEX(Rekenvolumes[Doorvoer op 26-1kV],8))/(REKENVOLUMES!$H$27-(1-FACTOR_DOORVOER)*REKENVOLUMES!$K$27)/(INDEX(Rekenvolumes[Afnameklanten op MS (∑)],8)-(1-FACTOR_DOORVOER)*INDEX(Rekenvolumes[Doorvoer op 26-1kV],8))</f>
        <v>#VALUE!</v>
      </c>
      <c r="G21" s="313" t="e">
        <f t="shared" ref="G21:H23" si="1">$F21</f>
        <v>#VALUE!</v>
      </c>
      <c r="H21" s="316" t="e">
        <f t="shared" si="1"/>
        <v>#VALUE!</v>
      </c>
      <c r="I21" s="314" t="e">
        <f>$F21*FACTOR_DOORVOER</f>
        <v>#VALUE!</v>
      </c>
      <c r="J21" s="315" t="e">
        <f>$E$8*1*INDEX(Rekenvolumes[Afnameklanten op TRLS (∑)],8)/REKENVOLUMES!$L$27/INDEX(Rekenvolumes[Afnameklanten op TRLS (∑)],8)</f>
        <v>#VALUE!</v>
      </c>
      <c r="K21" s="312" t="e">
        <f>$J21</f>
        <v>#VALUE!</v>
      </c>
      <c r="L21" s="321"/>
      <c r="M21" s="320"/>
      <c r="N21" s="317"/>
      <c r="O21" s="324"/>
      <c r="P21" s="324"/>
      <c r="Q21" s="318" t="s">
        <v>122</v>
      </c>
      <c r="R21" s="340" t="s">
        <v>122</v>
      </c>
      <c r="S21" s="321" t="s">
        <v>122</v>
      </c>
      <c r="T21" s="321" t="str">
        <f t="shared" ref="T21:T41" si="2">$R21</f>
        <v xml:space="preserve"> </v>
      </c>
      <c r="U21" s="321" t="s">
        <v>122</v>
      </c>
      <c r="V21" s="321" t="s">
        <v>122</v>
      </c>
      <c r="W21" s="322" t="s">
        <v>122</v>
      </c>
    </row>
    <row r="22" spans="1:23" ht="16.5">
      <c r="A22" s="132" t="s">
        <v>83</v>
      </c>
      <c r="B22" s="150" t="s">
        <v>111</v>
      </c>
      <c r="C22" s="312" t="e">
        <f>$C$8*FACTOR_MP_TV*INDEX(Rekenvolumes[Afnameklanten op TRHS (∑)],8)/REKENVOLUMES!$E$27/INDEX(Rekenvolumes[Afnameklanten op TRHS (∑)],9)</f>
        <v>#DIV/0!</v>
      </c>
      <c r="D22" s="313" t="e">
        <f t="shared" si="0"/>
        <v>#DIV/0!</v>
      </c>
      <c r="E22" s="314" t="e">
        <f t="shared" si="0"/>
        <v>#DIV/0!</v>
      </c>
      <c r="F22" s="315" t="e">
        <f>$D$8*FACTOR_MP_TV*(INDEX(Rekenvolumes[Afnameklanten op MS (∑)],8)-(1-FACTOR_DOORVOER)*INDEX(Rekenvolumes[Doorvoer op 26-1kV],8))/(REKENVOLUMES!$H$27-(1-FACTOR_DOORVOER)*REKENVOLUMES!$K$27)/(INDEX(Rekenvolumes[Afnameklanten op MS (∑)],9)-(1-FACTOR_DOORVOER)*INDEX(Rekenvolumes[Doorvoer op 26-1kV],9))</f>
        <v>#VALUE!</v>
      </c>
      <c r="G22" s="313" t="e">
        <f t="shared" si="1"/>
        <v>#VALUE!</v>
      </c>
      <c r="H22" s="316" t="e">
        <f t="shared" si="1"/>
        <v>#VALUE!</v>
      </c>
      <c r="I22" s="314" t="e">
        <f>$F22*FACTOR_DOORVOER</f>
        <v>#VALUE!</v>
      </c>
      <c r="J22" s="315" t="e">
        <f>$E$8*FACTOR_MP_TV*INDEX(Rekenvolumes[Afnameklanten op TRLS (∑)],8)/REKENVOLUMES!$L$27/INDEX(Rekenvolumes[Afnameklanten op TRLS (∑)],9)</f>
        <v>#VALUE!</v>
      </c>
      <c r="K22" s="312" t="e">
        <f>$J22</f>
        <v>#VALUE!</v>
      </c>
      <c r="L22" s="321"/>
      <c r="M22" s="320"/>
      <c r="N22" s="317"/>
      <c r="O22" s="324"/>
      <c r="P22" s="324"/>
      <c r="Q22" s="318"/>
      <c r="R22" s="340" t="s">
        <v>122</v>
      </c>
      <c r="S22" s="321" t="s">
        <v>122</v>
      </c>
      <c r="T22" s="321" t="str">
        <f t="shared" si="2"/>
        <v xml:space="preserve"> </v>
      </c>
      <c r="U22" s="321" t="s">
        <v>122</v>
      </c>
      <c r="V22" s="321" t="s">
        <v>122</v>
      </c>
      <c r="W22" s="322" t="s">
        <v>122</v>
      </c>
    </row>
    <row r="23" spans="1:23" ht="16.5">
      <c r="A23" s="132" t="s">
        <v>83</v>
      </c>
      <c r="B23" s="150" t="s">
        <v>112</v>
      </c>
      <c r="C23" s="312" t="e">
        <f>$C$8*FACTOR_OST*INDEX(Rekenvolumes[Afnameklanten op TRHS (∑)],10)/12/REKENVOLUMES!$E$27/INDEX(Rekenvolumes[Afnameklanten op TRHS (∑)],10)</f>
        <v>#DIV/0!</v>
      </c>
      <c r="D23" s="313" t="e">
        <f t="shared" si="0"/>
        <v>#DIV/0!</v>
      </c>
      <c r="E23" s="314" t="e">
        <f t="shared" si="0"/>
        <v>#DIV/0!</v>
      </c>
      <c r="F23" s="315" t="e">
        <f>$D$8*FACTOR_OST*(INDEX(Rekenvolumes[Afnameklanten op MS (∑)],10)-(1-FACTOR_DOORVOER)*INDEX(Rekenvolumes[Doorvoer op 26-1kV],10))/12/(REKENVOLUMES!$H$27-(1-FACTOR_DOORVOER)*REKENVOLUMES!$K$27)/(INDEX(Rekenvolumes[Afnameklanten op MS (∑)],10)-(1-FACTOR_DOORVOER)*INDEX(Rekenvolumes[Doorvoer op 26-1kV],10))</f>
        <v>#VALUE!</v>
      </c>
      <c r="G23" s="313" t="e">
        <f t="shared" si="1"/>
        <v>#VALUE!</v>
      </c>
      <c r="H23" s="316" t="e">
        <f t="shared" si="1"/>
        <v>#VALUE!</v>
      </c>
      <c r="I23" s="314" t="e">
        <f>$F23*FACTOR_DOORVOER</f>
        <v>#VALUE!</v>
      </c>
      <c r="J23" s="315" t="e">
        <f>$E$8*FACTOR_OST*INDEX(Rekenvolumes[Afnameklanten op TRLS (∑)],10)/12/REKENVOLUMES!$L$27/INDEX(Rekenvolumes[Afnameklanten op TRLS (∑)],10)</f>
        <v>#VALUE!</v>
      </c>
      <c r="K23" s="312" t="e">
        <f>$J23</f>
        <v>#VALUE!</v>
      </c>
      <c r="L23" s="321"/>
      <c r="M23" s="320"/>
      <c r="N23" s="317"/>
      <c r="O23" s="324"/>
      <c r="P23" s="324"/>
      <c r="Q23" s="318"/>
      <c r="R23" s="340" t="s">
        <v>122</v>
      </c>
      <c r="S23" s="321" t="s">
        <v>122</v>
      </c>
      <c r="T23" s="321" t="str">
        <f t="shared" si="2"/>
        <v xml:space="preserve"> </v>
      </c>
      <c r="U23" s="321" t="s">
        <v>122</v>
      </c>
      <c r="V23" s="321" t="s">
        <v>122</v>
      </c>
      <c r="W23" s="322" t="s">
        <v>122</v>
      </c>
    </row>
    <row r="24" spans="1:23" ht="16.5">
      <c r="A24" s="132" t="s">
        <v>83</v>
      </c>
      <c r="B24" s="150" t="s">
        <v>113</v>
      </c>
      <c r="C24" s="323"/>
      <c r="D24" s="320"/>
      <c r="E24" s="318"/>
      <c r="F24" s="322"/>
      <c r="G24" s="320"/>
      <c r="H24" s="317"/>
      <c r="I24" s="318"/>
      <c r="J24" s="322"/>
      <c r="K24" s="323"/>
      <c r="L24" s="326"/>
      <c r="M24" s="325" t="e">
        <f>PROCENT_GEMMP*$G$8/(INDEX(Rekenvolumes[Afnameklanten op LS met piekmeting],11)+FACTOR_DOORVOER*INDEX(Rekenvolumes[Doorvoer op LS met piekmeting],11))</f>
        <v>#DIV/0!</v>
      </c>
      <c r="N24" s="345" t="e">
        <f>FACTOR_DOORVOER*$M24</f>
        <v>#DIV/0!</v>
      </c>
      <c r="O24" s="324"/>
      <c r="P24" s="324"/>
      <c r="Q24" s="318"/>
      <c r="R24" s="340" t="s">
        <v>122</v>
      </c>
      <c r="S24" s="321" t="s">
        <v>122</v>
      </c>
      <c r="T24" s="321" t="str">
        <f t="shared" si="2"/>
        <v xml:space="preserve"> </v>
      </c>
      <c r="U24" s="321" t="s">
        <v>122</v>
      </c>
      <c r="V24" s="321" t="s">
        <v>122</v>
      </c>
      <c r="W24" s="322" t="s">
        <v>122</v>
      </c>
    </row>
    <row r="25" spans="1:23" ht="16.5">
      <c r="A25" s="132" t="s">
        <v>83</v>
      </c>
      <c r="B25" s="150" t="s">
        <v>114</v>
      </c>
      <c r="C25" s="323"/>
      <c r="D25" s="320"/>
      <c r="E25" s="318"/>
      <c r="F25" s="322"/>
      <c r="G25" s="320"/>
      <c r="H25" s="317"/>
      <c r="I25" s="318"/>
      <c r="J25" s="322"/>
      <c r="K25" s="323"/>
      <c r="L25" s="326"/>
      <c r="M25" s="320"/>
      <c r="N25" s="317"/>
      <c r="O25" s="319" t="e">
        <f>FACTOR_VAST*$M$24</f>
        <v>#DIV/0!</v>
      </c>
      <c r="P25" s="343" t="e">
        <f>FACTOR_DOORVOER*$O25</f>
        <v>#DIV/0!</v>
      </c>
      <c r="Q25" s="318"/>
      <c r="R25" s="340" t="s">
        <v>122</v>
      </c>
      <c r="S25" s="321" t="s">
        <v>122</v>
      </c>
      <c r="T25" s="321" t="str">
        <f t="shared" si="2"/>
        <v xml:space="preserve"> </v>
      </c>
      <c r="U25" s="321" t="s">
        <v>122</v>
      </c>
      <c r="V25" s="321" t="s">
        <v>122</v>
      </c>
      <c r="W25" s="322" t="s">
        <v>122</v>
      </c>
    </row>
    <row r="26" spans="1:23" ht="16.5">
      <c r="A26" s="132" t="s">
        <v>83</v>
      </c>
      <c r="B26" s="150" t="s">
        <v>115</v>
      </c>
      <c r="C26" s="323"/>
      <c r="D26" s="320"/>
      <c r="E26" s="318"/>
      <c r="F26" s="322"/>
      <c r="G26" s="320"/>
      <c r="H26" s="317"/>
      <c r="I26" s="318"/>
      <c r="J26" s="322"/>
      <c r="K26" s="323"/>
      <c r="L26" s="326"/>
      <c r="M26" s="325" t="e">
        <f>PROCENT_KWH*$G$8/(INDEX(Rekenvolumes[Afnameklanten op LS met piekmeting],12)+FACTOR_DOORVOER*INDEX(Rekenvolumes[Doorvoer op LS met piekmeting],12)+INDEX(Rekenvolumes[Afnameklanten op LS met piekmeting],13)+FACTOR_DOORVOER*INDEX(Rekenvolumes[Doorvoer op LS met piekmeting],13)+INDEX(Rekenvolumes[Afnameklanten op LS met piekmeting],14)+FACTOR_DOORVOER*INDEX(Rekenvolumes[Doorvoer op LS met piekmeting],14))</f>
        <v>#DIV/0!</v>
      </c>
      <c r="N26" s="345" t="e">
        <f>FACTOR_DOORVOER*$M26</f>
        <v>#DIV/0!</v>
      </c>
      <c r="O26" s="319" t="e">
        <f>($H$8-$O$25*(INDEX(Rekenvolumes[Afnameklanten op LS met klassieke meter],1)+FACTOR_DOORVOER*INDEX(Rekenvolumes[Doorvoer op LS zonder piekmeting],1)+INDEX(Rekenvolumes[Prosumenten met terugdraaiende teller op LS],1)))/(REKENVOLUMES!$Q$28+FACTOR_DOORVOER*REKENVOLUMES!$R$28+REKENVOLUMES!$S$28)</f>
        <v>#DIV/0!</v>
      </c>
      <c r="P26" s="343" t="e">
        <f>FACTOR_DOORVOER*$O26</f>
        <v>#DIV/0!</v>
      </c>
      <c r="Q26" s="318"/>
      <c r="R26" s="340" t="s">
        <v>122</v>
      </c>
      <c r="S26" s="321" t="s">
        <v>122</v>
      </c>
      <c r="T26" s="321" t="str">
        <f t="shared" si="2"/>
        <v xml:space="preserve"> </v>
      </c>
      <c r="U26" s="321" t="s">
        <v>122</v>
      </c>
      <c r="V26" s="321" t="s">
        <v>122</v>
      </c>
      <c r="W26" s="322" t="s">
        <v>122</v>
      </c>
    </row>
    <row r="27" spans="1:23" ht="16.5">
      <c r="A27" s="132" t="s">
        <v>83</v>
      </c>
      <c r="B27" s="150" t="s">
        <v>116</v>
      </c>
      <c r="C27" s="323"/>
      <c r="D27" s="320"/>
      <c r="E27" s="318"/>
      <c r="F27" s="322"/>
      <c r="G27" s="320"/>
      <c r="H27" s="317"/>
      <c r="I27" s="318"/>
      <c r="J27" s="322"/>
      <c r="K27" s="323"/>
      <c r="L27" s="321"/>
      <c r="M27" s="320"/>
      <c r="N27" s="317"/>
      <c r="O27" s="324"/>
      <c r="P27" s="324"/>
      <c r="Q27" s="318"/>
      <c r="R27" s="341" t="e">
        <f>$I$8/INDEX(Rekenvolumes[Injectieklanten (∑)],15)</f>
        <v>#VALUE!</v>
      </c>
      <c r="S27" s="326" t="e">
        <f>$R27</f>
        <v>#VALUE!</v>
      </c>
      <c r="T27" s="326" t="e">
        <f t="shared" si="2"/>
        <v>#VALUE!</v>
      </c>
      <c r="U27" s="326" t="e">
        <f>$R27</f>
        <v>#VALUE!</v>
      </c>
      <c r="V27" s="326" t="e">
        <f>$R27</f>
        <v>#VALUE!</v>
      </c>
      <c r="W27" s="326" t="e">
        <f>$R27</f>
        <v>#VALUE!</v>
      </c>
    </row>
    <row r="28" spans="1:23">
      <c r="A28" s="132" t="s">
        <v>13</v>
      </c>
      <c r="B28" s="150" t="s">
        <v>197</v>
      </c>
      <c r="C28" s="312" t="e">
        <f>$C$9/(INDEX(Rekenvolumes[Afnameklanten op TRHS (∑)],16)+INDEX(Rekenvolumes[Afnameklanten op TRHS (∑)],17))</f>
        <v>#VALUE!</v>
      </c>
      <c r="D28" s="313" t="e">
        <f t="shared" ref="D28:E30" si="3">$C28</f>
        <v>#VALUE!</v>
      </c>
      <c r="E28" s="314" t="e">
        <f t="shared" si="3"/>
        <v>#VALUE!</v>
      </c>
      <c r="F28" s="315" t="e">
        <f>$D$9/(INDEX(Rekenvolumes[Afnameklanten op MS (∑)],16)+INDEX(Rekenvolumes[Afnameklanten op MS (∑)],17)-(1-FACTOR_DOORVOER)*INDEX(Rekenvolumes[Doorvoer op 26-1kV],16)-(1-FACTOR_DOORVOER)*INDEX(Rekenvolumes[Doorvoer op 26-1kV],17))</f>
        <v>#VALUE!</v>
      </c>
      <c r="G28" s="313" t="e">
        <f t="shared" ref="G28:H30" si="4">$F28</f>
        <v>#VALUE!</v>
      </c>
      <c r="H28" s="316" t="e">
        <f t="shared" si="4"/>
        <v>#VALUE!</v>
      </c>
      <c r="I28" s="314" t="e">
        <f>$F28*FACTOR_DOORVOER</f>
        <v>#VALUE!</v>
      </c>
      <c r="J28" s="315" t="e">
        <f>$E$9/(INDEX(Rekenvolumes[Afnameklanten op TRLS (∑)],16)+INDEX(Rekenvolumes[Afnameklanten op TRLS (∑)],17))</f>
        <v>#VALUE!</v>
      </c>
      <c r="K28" s="312" t="e">
        <f>$J28</f>
        <v>#VALUE!</v>
      </c>
      <c r="L28" s="321"/>
      <c r="M28" s="320"/>
      <c r="N28" s="317"/>
      <c r="O28" s="324"/>
      <c r="P28" s="324"/>
      <c r="Q28" s="318"/>
      <c r="R28" s="340" t="s">
        <v>122</v>
      </c>
      <c r="S28" s="321" t="s">
        <v>122</v>
      </c>
      <c r="T28" s="321" t="str">
        <f t="shared" si="2"/>
        <v xml:space="preserve"> </v>
      </c>
      <c r="U28" s="321" t="s">
        <v>122</v>
      </c>
      <c r="V28" s="321" t="s">
        <v>122</v>
      </c>
      <c r="W28" s="322" t="s">
        <v>122</v>
      </c>
    </row>
    <row r="29" spans="1:23">
      <c r="A29" s="132" t="s">
        <v>84</v>
      </c>
      <c r="B29" s="150" t="s">
        <v>7</v>
      </c>
      <c r="C29" s="355" t="e">
        <f>TAR_DATA_NIETLS_2021*CPI_JAARMIN1/CPI_2020</f>
        <v>#DIV/0!</v>
      </c>
      <c r="D29" s="174" t="e">
        <f t="shared" si="3"/>
        <v>#DIV/0!</v>
      </c>
      <c r="E29" s="175" t="e">
        <f t="shared" si="3"/>
        <v>#DIV/0!</v>
      </c>
      <c r="F29" s="358" t="e">
        <f>TAR_DATA_NIETLS_2021*CPI_JAARMIN1/CPI_2020</f>
        <v>#DIV/0!</v>
      </c>
      <c r="G29" s="174" t="e">
        <f t="shared" si="4"/>
        <v>#DIV/0!</v>
      </c>
      <c r="H29" s="265" t="e">
        <f t="shared" si="4"/>
        <v>#DIV/0!</v>
      </c>
      <c r="I29" s="175" t="e">
        <f>$F29*FACTOR_DOORVOER</f>
        <v>#DIV/0!</v>
      </c>
      <c r="J29" s="358" t="e">
        <f>TAR_DATA_NIETLS_2021*CPI_JAARMIN1/CPI_2020</f>
        <v>#DIV/0!</v>
      </c>
      <c r="K29" s="355" t="e">
        <f>$J29</f>
        <v>#DIV/0!</v>
      </c>
      <c r="L29" s="268" t="e">
        <f>TAR_DATA_NIETLS_2021*CPI_JAARMIN1/CPI_2020</f>
        <v>#DIV/0!</v>
      </c>
      <c r="M29" s="174" t="e">
        <f>$L29</f>
        <v>#DIV/0!</v>
      </c>
      <c r="N29" s="265" t="e">
        <f>FACTOR_DOORVOER*$M29</f>
        <v>#DIV/0!</v>
      </c>
      <c r="O29" s="574"/>
      <c r="P29" s="574"/>
      <c r="Q29" s="352"/>
      <c r="R29" s="575" t="s">
        <v>122</v>
      </c>
      <c r="S29" s="353" t="s">
        <v>122</v>
      </c>
      <c r="T29" s="353" t="str">
        <f t="shared" si="2"/>
        <v xml:space="preserve"> </v>
      </c>
      <c r="U29" s="353" t="s">
        <v>122</v>
      </c>
      <c r="V29" s="353" t="s">
        <v>122</v>
      </c>
      <c r="W29" s="576" t="s">
        <v>122</v>
      </c>
    </row>
    <row r="30" spans="1:23">
      <c r="A30" s="132" t="s">
        <v>84</v>
      </c>
      <c r="B30" s="150" t="s">
        <v>8</v>
      </c>
      <c r="C30" s="355" t="e">
        <f>TAR_DATA_NIETLS_2021*CPI_JAARMIN1/CPI_2020</f>
        <v>#DIV/0!</v>
      </c>
      <c r="D30" s="174" t="e">
        <f t="shared" si="3"/>
        <v>#DIV/0!</v>
      </c>
      <c r="E30" s="175" t="e">
        <f t="shared" si="3"/>
        <v>#DIV/0!</v>
      </c>
      <c r="F30" s="358" t="e">
        <f>TAR_DATA_NIETLS_2021*CPI_JAARMIN1/CPI_2020</f>
        <v>#DIV/0!</v>
      </c>
      <c r="G30" s="174" t="e">
        <f t="shared" si="4"/>
        <v>#DIV/0!</v>
      </c>
      <c r="H30" s="265" t="e">
        <f t="shared" si="4"/>
        <v>#DIV/0!</v>
      </c>
      <c r="I30" s="175" t="e">
        <f>$F30*FACTOR_DOORVOER</f>
        <v>#DIV/0!</v>
      </c>
      <c r="J30" s="358" t="e">
        <f>TAR_DATA_NIETLS_2021*CPI_JAARMIN1/CPI_2020</f>
        <v>#DIV/0!</v>
      </c>
      <c r="K30" s="355" t="e">
        <f>$J30</f>
        <v>#DIV/0!</v>
      </c>
      <c r="L30" s="264" t="e">
        <f>TAR_DATA_NIETLS_2021*CPI_JAARMIN1/CPI_2020</f>
        <v>#DIV/0!</v>
      </c>
      <c r="M30" s="174" t="e">
        <f t="shared" ref="M30:M32" si="5">$L30</f>
        <v>#DIV/0!</v>
      </c>
      <c r="N30" s="265" t="e">
        <f>FACTOR_DOORVOER*$M30</f>
        <v>#DIV/0!</v>
      </c>
      <c r="O30" s="574"/>
      <c r="P30" s="574"/>
      <c r="Q30" s="352"/>
      <c r="R30" s="575"/>
      <c r="S30" s="353"/>
      <c r="T30" s="353"/>
      <c r="U30" s="353"/>
      <c r="V30" s="353"/>
      <c r="W30" s="576"/>
    </row>
    <row r="31" spans="1:23">
      <c r="A31" s="132" t="s">
        <v>84</v>
      </c>
      <c r="B31" s="150" t="s">
        <v>273</v>
      </c>
      <c r="C31" s="356"/>
      <c r="D31" s="354"/>
      <c r="E31" s="352"/>
      <c r="F31" s="576"/>
      <c r="G31" s="354"/>
      <c r="H31" s="351"/>
      <c r="I31" s="352"/>
      <c r="J31" s="576"/>
      <c r="K31" s="356"/>
      <c r="L31" s="264" t="e">
        <f>TAR_DATA_LSMR1_2021*CPI_JAARMIN1/CPI_2020</f>
        <v>#DIV/0!</v>
      </c>
      <c r="M31" s="174" t="e">
        <f t="shared" si="5"/>
        <v>#DIV/0!</v>
      </c>
      <c r="N31" s="351"/>
      <c r="O31" s="574"/>
      <c r="P31" s="574"/>
      <c r="Q31" s="352"/>
      <c r="R31" s="575"/>
      <c r="S31" s="353"/>
      <c r="T31" s="353"/>
      <c r="U31" s="353"/>
      <c r="V31" s="353"/>
      <c r="W31" s="576"/>
    </row>
    <row r="32" spans="1:23">
      <c r="A32" s="132" t="s">
        <v>84</v>
      </c>
      <c r="B32" s="150" t="s">
        <v>274</v>
      </c>
      <c r="C32" s="356"/>
      <c r="D32" s="354"/>
      <c r="E32" s="352"/>
      <c r="F32" s="576"/>
      <c r="G32" s="354"/>
      <c r="H32" s="351"/>
      <c r="I32" s="352"/>
      <c r="J32" s="576"/>
      <c r="K32" s="356"/>
      <c r="L32" s="264" t="e">
        <f>TAR_DATA_LSMR3_2021*CPI_JAARMIN1/CPI_2020</f>
        <v>#DIV/0!</v>
      </c>
      <c r="M32" s="174" t="e">
        <f t="shared" si="5"/>
        <v>#DIV/0!</v>
      </c>
      <c r="N32" s="351"/>
      <c r="O32" s="574"/>
      <c r="P32" s="574"/>
      <c r="Q32" s="352"/>
      <c r="R32" s="575"/>
      <c r="S32" s="353"/>
      <c r="T32" s="353"/>
      <c r="U32" s="353"/>
      <c r="V32" s="353"/>
      <c r="W32" s="576"/>
    </row>
    <row r="33" spans="1:23">
      <c r="A33" s="132" t="s">
        <v>84</v>
      </c>
      <c r="B33" s="150" t="s">
        <v>129</v>
      </c>
      <c r="C33" s="356"/>
      <c r="D33" s="354"/>
      <c r="E33" s="352"/>
      <c r="F33" s="576"/>
      <c r="G33" s="354"/>
      <c r="H33" s="351"/>
      <c r="I33" s="352"/>
      <c r="J33" s="576"/>
      <c r="K33" s="356"/>
      <c r="L33" s="264" t="e">
        <f>TAR_DATA_LSMR1_2021*CPI_JAARMIN1/CPI_2020</f>
        <v>#DIV/0!</v>
      </c>
      <c r="M33" s="354"/>
      <c r="N33" s="266"/>
      <c r="O33" s="265" t="e">
        <f>$L33</f>
        <v>#DIV/0!</v>
      </c>
      <c r="P33" s="343" t="e">
        <f>FACTOR_DOORVOER*$O33</f>
        <v>#DIV/0!</v>
      </c>
      <c r="Q33" s="352"/>
      <c r="R33" s="575"/>
      <c r="S33" s="353"/>
      <c r="T33" s="353"/>
      <c r="U33" s="353"/>
      <c r="V33" s="353"/>
      <c r="W33" s="576"/>
    </row>
    <row r="34" spans="1:23">
      <c r="A34" s="132" t="s">
        <v>84</v>
      </c>
      <c r="B34" s="150" t="s">
        <v>342</v>
      </c>
      <c r="C34" s="356"/>
      <c r="D34" s="354"/>
      <c r="E34" s="352"/>
      <c r="F34" s="576"/>
      <c r="G34" s="354"/>
      <c r="H34" s="351"/>
      <c r="I34" s="352"/>
      <c r="J34" s="576"/>
      <c r="K34" s="356"/>
      <c r="L34" s="353"/>
      <c r="M34" s="354"/>
      <c r="N34" s="266"/>
      <c r="O34" s="351"/>
      <c r="P34" s="351"/>
      <c r="Q34" s="352"/>
      <c r="R34" s="357" t="e">
        <f>TAR_DATA_PROD_2021*CPI_JAARMIN1/CPI_2020</f>
        <v>#DIV/0!</v>
      </c>
      <c r="S34" s="264" t="e">
        <f>$R34</f>
        <v>#DIV/0!</v>
      </c>
      <c r="T34" s="264" t="e">
        <f t="shared" ref="T34:W34" si="6">$R34</f>
        <v>#DIV/0!</v>
      </c>
      <c r="U34" s="264" t="e">
        <f t="shared" si="6"/>
        <v>#DIV/0!</v>
      </c>
      <c r="V34" s="264" t="e">
        <f t="shared" si="6"/>
        <v>#DIV/0!</v>
      </c>
      <c r="W34" s="358" t="e">
        <f t="shared" si="6"/>
        <v>#DIV/0!</v>
      </c>
    </row>
    <row r="35" spans="1:23" ht="16.5">
      <c r="A35" s="132" t="s">
        <v>85</v>
      </c>
      <c r="B35" s="150" t="s">
        <v>217</v>
      </c>
      <c r="C35" s="312" t="e">
        <f>$C$11/(INDEX(Rekenvolumes[Afnameklanten op TRHS (∑)],12)+INDEX(Rekenvolumes[Afnameklanten op TRHS (∑)],13)+(1-KORTING_XN)*INDEX(Rekenvolumes[Afnameklanten op TRHS (∑)],14))</f>
        <v>#VALUE!</v>
      </c>
      <c r="D35" s="313" t="e">
        <f>$C35</f>
        <v>#VALUE!</v>
      </c>
      <c r="E35" s="314" t="e">
        <f>$C35</f>
        <v>#VALUE!</v>
      </c>
      <c r="F35" s="315" t="e">
        <f>$D$11/(INDEX(Rekenvolumes[Afnameklanten op MS (∑)],12)+INDEX(Rekenvolumes[Afnameklanten op MS (∑)],13)+(1-KORTING_XN)*INDEX(Rekenvolumes[Afnameklanten op MS (∑)],14)-(1-FACTOR_DOORVOER)*INDEX(Rekenvolumes[Doorvoer op 26-1kV],12)-(1-FACTOR_DOORVOER)*INDEX(Rekenvolumes[Doorvoer op 26-1kV],13)-(1-KORTING_XN)*(1-FACTOR_DOORVOER)*INDEX(Rekenvolumes[Doorvoer op 26-1kV],14))</f>
        <v>#VALUE!</v>
      </c>
      <c r="G35" s="313" t="e">
        <f>$F35</f>
        <v>#VALUE!</v>
      </c>
      <c r="H35" s="316" t="e">
        <f>$F35</f>
        <v>#VALUE!</v>
      </c>
      <c r="I35" s="314" t="e">
        <f>$F35*FACTOR_DOORVOER</f>
        <v>#VALUE!</v>
      </c>
      <c r="J35" s="315" t="e">
        <f>$E$11/(INDEX(Rekenvolumes[Afnameklanten op TRLS (∑)],12)+INDEX(Rekenvolumes[Afnameklanten op TRLS (∑)],13)+(1-KORTING_XN)*INDEX(Rekenvolumes[Afnameklanten op TRLS (∑)],14))</f>
        <v>#VALUE!</v>
      </c>
      <c r="K35" s="312" t="e">
        <f t="shared" ref="K35:K40" si="7">$J35</f>
        <v>#VALUE!</v>
      </c>
      <c r="L35" s="326" t="e">
        <f>$F$11/(INDEX(Rekenvolumes[Afnameklanten op LS (∑)],12)+INDEX(Rekenvolumes[Afnameklanten op LS (∑)],13)+(1-KORTING_XN)*INDEX(Rekenvolumes[Afnameklanten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piekmeting],13)-(1-KORTING_XN)*(1-FACTOR_DOORVOER)*INDEX(Rekenvolumes[Doorvoer op LS met piekmeting],14)-(1-KORTING_XN)*(1-FACTOR_DOORVOER)*INDEX(Rekenvolumes[Doorvoer op LS zonder piekmeting],14))</f>
        <v>#VALUE!</v>
      </c>
      <c r="M35" s="313" t="e">
        <f>$L35</f>
        <v>#VALUE!</v>
      </c>
      <c r="N35" s="345" t="e">
        <f>FACTOR_DOORVOER*$L35</f>
        <v>#VALUE!</v>
      </c>
      <c r="O35" s="316" t="e">
        <f>$L35</f>
        <v>#VALUE!</v>
      </c>
      <c r="P35" s="345" t="e">
        <f>FACTOR_DOORVOER*$L35</f>
        <v>#VALUE!</v>
      </c>
      <c r="Q35" s="318"/>
      <c r="R35" s="340" t="s">
        <v>122</v>
      </c>
      <c r="S35" s="321" t="s">
        <v>122</v>
      </c>
      <c r="T35" s="321"/>
      <c r="U35" s="321" t="s">
        <v>122</v>
      </c>
      <c r="V35" s="321" t="s">
        <v>122</v>
      </c>
      <c r="W35" s="322" t="s">
        <v>122</v>
      </c>
    </row>
    <row r="36" spans="1:23" ht="16.5">
      <c r="A36" s="132" t="s">
        <v>85</v>
      </c>
      <c r="B36" s="150" t="s">
        <v>216</v>
      </c>
      <c r="C36" s="323"/>
      <c r="D36" s="320"/>
      <c r="E36" s="318"/>
      <c r="F36" s="315" t="e">
        <f>(1-KORTING_XN)*$F$35</f>
        <v>#VALUE!</v>
      </c>
      <c r="G36" s="320"/>
      <c r="H36" s="316" t="e">
        <f>$F36</f>
        <v>#VALUE!</v>
      </c>
      <c r="I36" s="318"/>
      <c r="J36" s="315" t="e">
        <f>(1-KORTING_XN)*$J$35</f>
        <v>#VALUE!</v>
      </c>
      <c r="K36" s="312" t="e">
        <f t="shared" si="7"/>
        <v>#VALUE!</v>
      </c>
      <c r="L36" s="326" t="e">
        <f>(1-KORTING_XN)*$L$35</f>
        <v>#VALUE!</v>
      </c>
      <c r="M36" s="313" t="e">
        <f>$L36</f>
        <v>#VALUE!</v>
      </c>
      <c r="N36" s="344"/>
      <c r="O36" s="316" t="e">
        <f>$L36</f>
        <v>#VALUE!</v>
      </c>
      <c r="P36" s="324"/>
      <c r="Q36" s="318"/>
      <c r="R36" s="340"/>
      <c r="S36" s="321"/>
      <c r="T36" s="321"/>
      <c r="U36" s="321"/>
      <c r="V36" s="321"/>
      <c r="W36" s="322"/>
    </row>
    <row r="37" spans="1:23" ht="16.5">
      <c r="A37" s="132" t="s">
        <v>9</v>
      </c>
      <c r="B37" s="150" t="s">
        <v>115</v>
      </c>
      <c r="C37" s="312" t="e">
        <f>$C$12/(INDEX(Rekenvolumes[Afnameklanten op TRHS (∑)],12)+INDEX(Rekenvolumes[Afnameklanten op TRHS (∑)],13)+INDEX(Rekenvolumes[Afnameklanten op TRHS (∑)],14))</f>
        <v>#VALUE!</v>
      </c>
      <c r="D37" s="313" t="e">
        <f t="shared" ref="D37:E40" si="8">$C37</f>
        <v>#VALUE!</v>
      </c>
      <c r="E37" s="314" t="e">
        <f t="shared" si="8"/>
        <v>#VALUE!</v>
      </c>
      <c r="F37" s="315" t="e">
        <f>$D$12/(INDEX(Rekenvolumes[Afnameklanten op MS (∑)],12)+INDEX(Rekenvolumes[Afnameklanten op MS (∑)],13)+INDEX(Rekenvolumes[Afnameklanten op MS (∑)],14)-(1-FACTOR_DOORVOER)*INDEX(Rekenvolumes[Doorvoer op 26-1kV],12)-(1-FACTOR_DOORVOER)*INDEX(Rekenvolumes[Doorvoer op 26-1kV],13)-(1-FACTOR_DOORVOER)*INDEX(Rekenvolumes[Doorvoer op 26-1kV],14))</f>
        <v>#VALUE!</v>
      </c>
      <c r="G37" s="313" t="e">
        <f>$F37</f>
        <v>#VALUE!</v>
      </c>
      <c r="H37" s="316" t="e">
        <f t="shared" ref="H37:H40" si="9">$F37</f>
        <v>#VALUE!</v>
      </c>
      <c r="I37" s="314" t="e">
        <f>$F37*FACTOR_DOORVOER</f>
        <v>#VALUE!</v>
      </c>
      <c r="J37" s="315" t="e">
        <f>$E$12/(INDEX(Rekenvolumes[Afnameklanten op TRLS (∑)],12)+INDEX(Rekenvolumes[Afnameklanten op TRLS (∑)],13)+INDEX(Rekenvolumes[Afnameklanten op TRLS (∑)],14))</f>
        <v>#VALUE!</v>
      </c>
      <c r="K37" s="312" t="e">
        <f t="shared" si="7"/>
        <v>#VALUE!</v>
      </c>
      <c r="L37" s="326" t="e">
        <f>$F$12/(INDEX(Rekenvolumes[Afnameklanten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#VALUE!</v>
      </c>
      <c r="M37" s="313" t="e">
        <f>$L37</f>
        <v>#VALUE!</v>
      </c>
      <c r="N37" s="345" t="e">
        <f>FACTOR_DOORVOER*$L37</f>
        <v>#VALUE!</v>
      </c>
      <c r="O37" s="316" t="e">
        <f t="shared" ref="O37" si="10">$L37</f>
        <v>#VALUE!</v>
      </c>
      <c r="P37" s="345" t="e">
        <f>FACTOR_DOORVOER*$L37</f>
        <v>#VALUE!</v>
      </c>
      <c r="Q37" s="318"/>
      <c r="R37" s="340" t="s">
        <v>122</v>
      </c>
      <c r="S37" s="321" t="s">
        <v>122</v>
      </c>
      <c r="T37" s="321"/>
      <c r="U37" s="321" t="s">
        <v>122</v>
      </c>
      <c r="V37" s="321" t="s">
        <v>122</v>
      </c>
      <c r="W37" s="322" t="s">
        <v>122</v>
      </c>
    </row>
    <row r="38" spans="1:23">
      <c r="A38" s="133" t="s">
        <v>86</v>
      </c>
      <c r="B38" s="151"/>
      <c r="C38" s="312"/>
      <c r="D38" s="328"/>
      <c r="E38" s="329"/>
      <c r="F38" s="315"/>
      <c r="G38" s="328"/>
      <c r="H38" s="331"/>
      <c r="I38" s="329"/>
      <c r="J38" s="330"/>
      <c r="K38" s="327"/>
      <c r="L38" s="573"/>
      <c r="M38" s="313"/>
      <c r="N38" s="345"/>
      <c r="O38" s="316"/>
      <c r="P38" s="343"/>
      <c r="Q38" s="338"/>
      <c r="R38" s="342"/>
      <c r="S38" s="334"/>
      <c r="T38" s="334"/>
      <c r="U38" s="334"/>
      <c r="V38" s="334"/>
      <c r="W38" s="335"/>
    </row>
    <row r="39" spans="1:23" ht="16.5">
      <c r="A39" s="578" t="s">
        <v>560</v>
      </c>
      <c r="B39" s="151" t="s">
        <v>272</v>
      </c>
      <c r="C39" s="327" t="e">
        <f>$C$14/(INDEX(Rekenvolumes[Afnameklanten op TRHS (∑)],12)+INDEX(Rekenvolumes[Afnameklanten op TRHS (∑)],13)+INDEX(Rekenvolumes[Afnameklanten op TRHS (∑)],14))</f>
        <v>#DIV/0!</v>
      </c>
      <c r="D39" s="328" t="e">
        <f t="shared" si="8"/>
        <v>#DIV/0!</v>
      </c>
      <c r="E39" s="329" t="e">
        <f t="shared" si="8"/>
        <v>#DIV/0!</v>
      </c>
      <c r="F39" s="330" t="e">
        <f>$D$14/(INDEX(Rekenvolumes[Afnameklanten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39" s="328" t="e">
        <f>$F39</f>
        <v>#DIV/0!</v>
      </c>
      <c r="H39" s="331" t="e">
        <f t="shared" si="9"/>
        <v>#DIV/0!</v>
      </c>
      <c r="I39" s="329" t="e">
        <f>$F39*FACTOR_DOORVOER</f>
        <v>#DIV/0!</v>
      </c>
      <c r="J39" s="330" t="e">
        <f>$E$14/(INDEX(Rekenvolumes[Afnameklanten op TRLS (∑)],12)+INDEX(Rekenvolumes[Afnameklanten op TRLS (∑)],13)+INDEX(Rekenvolumes[Afnameklanten op TRLS (∑)],14))</f>
        <v>#DIV/0!</v>
      </c>
      <c r="K39" s="327" t="e">
        <f t="shared" si="7"/>
        <v>#DIV/0!</v>
      </c>
      <c r="L39" s="326" t="e">
        <f>$F$14/(INDEX(Rekenvolumes[Afnameklanten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39" s="328" t="e">
        <f>$L39</f>
        <v>#DIV/0!</v>
      </c>
      <c r="N39" s="345" t="e">
        <f>FACTOR_DOORVOER*$L39</f>
        <v>#DIV/0!</v>
      </c>
      <c r="O39" s="333" t="e">
        <f t="shared" ref="M39:O40" si="11">$L39</f>
        <v>#DIV/0!</v>
      </c>
      <c r="P39" s="345" t="e">
        <f>FACTOR_DOORVOER*$L39</f>
        <v>#DIV/0!</v>
      </c>
      <c r="Q39" s="338"/>
      <c r="R39" s="342"/>
      <c r="S39" s="334"/>
      <c r="T39" s="334"/>
      <c r="U39" s="334"/>
      <c r="V39" s="334"/>
      <c r="W39" s="335"/>
    </row>
    <row r="40" spans="1:23" ht="16.5">
      <c r="A40" s="578" t="s">
        <v>322</v>
      </c>
      <c r="B40" s="151" t="s">
        <v>272</v>
      </c>
      <c r="C40" s="327" t="e">
        <f>$C$15/(INDEX(Rekenvolumes[Afnameklanten op TRHS (∑)],12)+INDEX(Rekenvolumes[Afnameklanten op TRHS (∑)],13)+INDEX(Rekenvolumes[Afnameklanten op TRHS (∑)],14))</f>
        <v>#DIV/0!</v>
      </c>
      <c r="D40" s="328" t="e">
        <f t="shared" si="8"/>
        <v>#DIV/0!</v>
      </c>
      <c r="E40" s="329" t="e">
        <f t="shared" si="8"/>
        <v>#DIV/0!</v>
      </c>
      <c r="F40" s="330" t="e">
        <f>$D$15/(INDEX(Rekenvolumes[Afnameklanten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40" s="328" t="e">
        <f>$F40</f>
        <v>#DIV/0!</v>
      </c>
      <c r="H40" s="331" t="e">
        <f t="shared" si="9"/>
        <v>#DIV/0!</v>
      </c>
      <c r="I40" s="329" t="e">
        <f>$F40*FACTOR_DOORVOER</f>
        <v>#DIV/0!</v>
      </c>
      <c r="J40" s="330" t="e">
        <f>$E$15/(INDEX(Rekenvolumes[Afnameklanten op TRLS (∑)],12)+INDEX(Rekenvolumes[Afnameklanten op TRLS (∑)],13)+INDEX(Rekenvolumes[Afnameklanten op TRLS (∑)],14))</f>
        <v>#DIV/0!</v>
      </c>
      <c r="K40" s="327" t="e">
        <f t="shared" si="7"/>
        <v>#DIV/0!</v>
      </c>
      <c r="L40" s="326" t="e">
        <f>$F$15/(INDEX(Rekenvolumes[Afnameklanten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40" s="328" t="e">
        <f t="shared" si="11"/>
        <v>#DIV/0!</v>
      </c>
      <c r="N40" s="345" t="e">
        <f>FACTOR_DOORVOER*$L40</f>
        <v>#DIV/0!</v>
      </c>
      <c r="O40" s="333" t="e">
        <f t="shared" si="11"/>
        <v>#DIV/0!</v>
      </c>
      <c r="P40" s="345" t="e">
        <f>FACTOR_DOORVOER*$L40</f>
        <v>#DIV/0!</v>
      </c>
      <c r="Q40" s="338"/>
      <c r="R40" s="342"/>
      <c r="S40" s="334"/>
      <c r="T40" s="334"/>
      <c r="U40" s="334"/>
      <c r="V40" s="334"/>
      <c r="W40" s="335"/>
    </row>
    <row r="41" spans="1:23" ht="17" thickBot="1">
      <c r="A41" s="133" t="s">
        <v>526</v>
      </c>
      <c r="B41" s="347" t="s">
        <v>153</v>
      </c>
      <c r="C41" s="336"/>
      <c r="D41" s="337"/>
      <c r="E41" s="338"/>
      <c r="F41" s="335"/>
      <c r="G41" s="337"/>
      <c r="H41" s="332"/>
      <c r="I41" s="338"/>
      <c r="J41" s="335"/>
      <c r="K41" s="336"/>
      <c r="L41" s="334" t="s">
        <v>122</v>
      </c>
      <c r="M41" s="337" t="s">
        <v>122</v>
      </c>
      <c r="N41" s="332" t="s">
        <v>122</v>
      </c>
      <c r="O41" s="339" t="s">
        <v>122</v>
      </c>
      <c r="P41" s="339" t="s">
        <v>122</v>
      </c>
      <c r="Q41" s="329" t="e">
        <f>$Q$58</f>
        <v>#DIV/0!</v>
      </c>
      <c r="R41" s="342" t="s">
        <v>122</v>
      </c>
      <c r="S41" s="334" t="s">
        <v>122</v>
      </c>
      <c r="T41" s="334" t="str">
        <f t="shared" si="2"/>
        <v xml:space="preserve"> </v>
      </c>
      <c r="U41" s="334" t="s">
        <v>122</v>
      </c>
      <c r="V41" s="334" t="s">
        <v>122</v>
      </c>
      <c r="W41" s="335" t="s">
        <v>122</v>
      </c>
    </row>
    <row r="45" spans="1:23" ht="15.75" customHeight="1" thickBot="1">
      <c r="N45" s="158"/>
      <c r="O45" s="133"/>
      <c r="P45" s="133"/>
      <c r="Q45" s="133"/>
      <c r="R45" s="159"/>
    </row>
    <row r="46" spans="1:23" ht="15" thickBot="1">
      <c r="N46" s="1566"/>
      <c r="O46" s="161"/>
      <c r="P46" s="586" t="e">
        <f>SUM($O$26,$O$35,$O$37:$O$40)</f>
        <v>#DIV/0!</v>
      </c>
      <c r="Q46" s="161" t="s">
        <v>198</v>
      </c>
      <c r="R46" s="162"/>
    </row>
    <row r="47" spans="1:23" ht="15" thickBot="1">
      <c r="N47" s="1566"/>
      <c r="O47" s="161"/>
      <c r="P47" s="161"/>
      <c r="Q47" s="161"/>
      <c r="R47" s="162"/>
    </row>
    <row r="48" spans="1:23" ht="15" thickBot="1">
      <c r="N48" s="1566"/>
      <c r="O48" s="161"/>
      <c r="P48" s="163" t="s">
        <v>199</v>
      </c>
      <c r="Q48" s="157">
        <f>OMVORMERVERMOGEN</f>
        <v>0</v>
      </c>
      <c r="R48" s="162"/>
    </row>
    <row r="49" spans="14:18" ht="15" thickBot="1">
      <c r="N49" s="1566"/>
      <c r="O49" s="161"/>
      <c r="P49" s="163"/>
      <c r="Q49" s="164"/>
      <c r="R49" s="162"/>
    </row>
    <row r="50" spans="14:18" ht="15" thickBot="1">
      <c r="N50" s="1566"/>
      <c r="O50" s="161"/>
      <c r="P50" s="163" t="s">
        <v>200</v>
      </c>
      <c r="Q50" s="157">
        <f>$Q$48/DIM_OMV</f>
        <v>0</v>
      </c>
      <c r="R50" s="162"/>
    </row>
    <row r="51" spans="14:18" ht="15" thickBot="1">
      <c r="N51" s="1566"/>
      <c r="O51" s="161"/>
      <c r="P51" s="163"/>
      <c r="Q51" s="164"/>
      <c r="R51" s="162"/>
    </row>
    <row r="52" spans="14:18" ht="15" thickBot="1">
      <c r="N52" s="1566"/>
      <c r="O52" s="161"/>
      <c r="P52" s="163" t="s">
        <v>201</v>
      </c>
      <c r="Q52" s="157">
        <f>$Q$50*VOLLASTUREN</f>
        <v>0</v>
      </c>
      <c r="R52" s="162"/>
    </row>
    <row r="53" spans="14:18" ht="15" thickBot="1">
      <c r="N53" s="1566"/>
      <c r="O53" s="161"/>
      <c r="P53" s="163"/>
      <c r="Q53" s="164"/>
      <c r="R53" s="162"/>
    </row>
    <row r="54" spans="14:18" ht="15" thickBot="1">
      <c r="N54" s="1566"/>
      <c r="O54" s="161"/>
      <c r="P54" s="163" t="s">
        <v>202</v>
      </c>
      <c r="Q54" s="157">
        <f>$Q$52*(1-ZELFCONSUMPTIE)</f>
        <v>0</v>
      </c>
      <c r="R54" s="162"/>
    </row>
    <row r="55" spans="14:18" ht="15" thickBot="1">
      <c r="N55" s="1566"/>
      <c r="O55" s="161"/>
      <c r="P55" s="161"/>
      <c r="Q55" s="161"/>
      <c r="R55" s="162"/>
    </row>
    <row r="56" spans="14:18" ht="15" thickBot="1">
      <c r="N56" s="1566"/>
      <c r="O56" s="161"/>
      <c r="P56" s="163" t="s">
        <v>203</v>
      </c>
      <c r="Q56" s="1261" t="e">
        <f>$P$46*$Q$54</f>
        <v>#DIV/0!</v>
      </c>
      <c r="R56" s="162"/>
    </row>
    <row r="57" spans="14:18" ht="15" customHeight="1" thickBot="1">
      <c r="N57" s="1566"/>
      <c r="O57" s="161"/>
      <c r="P57" s="161"/>
      <c r="Q57" s="161"/>
      <c r="R57" s="162"/>
    </row>
    <row r="58" spans="14:18" ht="15" thickBot="1">
      <c r="N58" s="1566"/>
      <c r="O58" s="161"/>
      <c r="P58" s="163" t="s">
        <v>204</v>
      </c>
      <c r="Q58" s="571" t="e">
        <f>$Q$56/$Q$48</f>
        <v>#DIV/0!</v>
      </c>
      <c r="R58" s="162"/>
    </row>
    <row r="59" spans="14:18" ht="15" customHeight="1">
      <c r="N59" s="165"/>
      <c r="O59" s="166"/>
      <c r="P59" s="166"/>
      <c r="Q59" s="166"/>
      <c r="R59" s="167"/>
    </row>
  </sheetData>
  <sheetProtection algorithmName="SHA-512" hashValue="rNENC+SXncQjjlbXcJl4SnAdLyP+485OGXEYlbcJFwGsgjKM3YgSYNx8cuE4poK0Rgj6ppgAh+pr8F+UjMETUg==" saltValue="LDqVPK95H7va2ztVN3ctQQ==" spinCount="100000" sheet="1" objects="1" scenarios="1"/>
  <mergeCells count="3">
    <mergeCell ref="E4:F4"/>
    <mergeCell ref="N46:N58"/>
    <mergeCell ref="A1:J1"/>
  </mergeCells>
  <phoneticPr fontId="50" type="noConversion"/>
  <pageMargins left="0.7" right="0.7" top="0.75" bottom="0.75" header="0.3" footer="0.3"/>
  <pageSetup paperSize="9" orientation="portrait" r:id="rId1"/>
  <ignoredErrors>
    <ignoredError sqref="U41:W41 U35:W35 U37:W37 U21:W26 U28:W29 S28:S29 S21:S26 S37 S35 S41" calculatedColumn="1"/>
  </ignoredError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33"/>
  <dimension ref="A1:W42"/>
  <sheetViews>
    <sheetView zoomScaleNormal="100" workbookViewId="0">
      <selection activeCell="E4" sqref="E4:F4"/>
    </sheetView>
  </sheetViews>
  <sheetFormatPr defaultColWidth="20.7265625" defaultRowHeight="14.5"/>
  <cols>
    <col min="1" max="1" width="40.7265625" style="1" customWidth="1"/>
    <col min="2" max="9" width="20.7265625" style="1"/>
    <col min="10" max="15" width="20.7265625" style="1" customWidth="1"/>
    <col min="16" max="16384" width="20.7265625" style="1"/>
  </cols>
  <sheetData>
    <row r="1" spans="1:23" ht="18.5" thickBot="1">
      <c r="A1" s="1425" t="s">
        <v>220</v>
      </c>
      <c r="B1" s="1426"/>
      <c r="C1" s="1426"/>
      <c r="D1" s="1426"/>
      <c r="E1" s="1426"/>
      <c r="F1" s="1426"/>
      <c r="G1" s="1426"/>
      <c r="H1" s="1426"/>
      <c r="I1" s="1426"/>
      <c r="J1" s="1494"/>
    </row>
    <row r="2" spans="1:23" ht="18">
      <c r="A2" s="52"/>
      <c r="B2" s="52"/>
      <c r="C2" s="52"/>
      <c r="D2" s="52"/>
      <c r="E2" s="52"/>
      <c r="F2" s="63"/>
      <c r="G2" s="63"/>
    </row>
    <row r="3" spans="1:23" ht="15" thickBot="1">
      <c r="A3" s="54"/>
      <c r="B3" s="54"/>
      <c r="C3" s="54"/>
      <c r="D3" s="54"/>
      <c r="E3" s="55"/>
      <c r="F3" s="64"/>
      <c r="G3" s="64"/>
    </row>
    <row r="4" spans="1:23" ht="15" thickBot="1">
      <c r="A4" s="56"/>
      <c r="C4" s="57" t="s">
        <v>6</v>
      </c>
      <c r="D4" s="56"/>
      <c r="E4" s="1420" t="str">
        <f>DNB</f>
        <v>Naam distributienetbeheerder</v>
      </c>
      <c r="F4" s="1422"/>
      <c r="G4" s="66"/>
    </row>
    <row r="6" spans="1:23" ht="15" thickBot="1"/>
    <row r="7" spans="1:23" ht="44" thickBot="1">
      <c r="A7" s="255" t="s">
        <v>82</v>
      </c>
      <c r="B7" s="155" t="s">
        <v>109</v>
      </c>
      <c r="C7" s="75" t="s">
        <v>308</v>
      </c>
      <c r="D7" s="156" t="s">
        <v>102</v>
      </c>
      <c r="E7" s="145" t="s">
        <v>132</v>
      </c>
      <c r="F7" s="76" t="s">
        <v>309</v>
      </c>
      <c r="G7" s="156" t="s">
        <v>133</v>
      </c>
      <c r="H7" s="144" t="s">
        <v>269</v>
      </c>
      <c r="I7" s="145" t="s">
        <v>270</v>
      </c>
      <c r="J7" s="76" t="s">
        <v>277</v>
      </c>
      <c r="K7" s="572" t="s">
        <v>103</v>
      </c>
      <c r="L7" s="350" t="s">
        <v>310</v>
      </c>
      <c r="M7" s="156" t="s">
        <v>119</v>
      </c>
      <c r="N7" s="144" t="s">
        <v>547</v>
      </c>
      <c r="O7" s="271" t="s">
        <v>120</v>
      </c>
      <c r="P7" s="271" t="s">
        <v>548</v>
      </c>
      <c r="Q7" s="145" t="s">
        <v>121</v>
      </c>
      <c r="R7" s="272" t="s">
        <v>278</v>
      </c>
      <c r="S7" s="146" t="s">
        <v>209</v>
      </c>
      <c r="T7" s="146" t="s">
        <v>324</v>
      </c>
      <c r="U7" s="146" t="s">
        <v>271</v>
      </c>
      <c r="V7" s="146" t="s">
        <v>104</v>
      </c>
      <c r="W7" s="147" t="s">
        <v>105</v>
      </c>
    </row>
    <row r="8" spans="1:23" ht="16.5">
      <c r="A8" s="132" t="s">
        <v>83</v>
      </c>
      <c r="B8" s="149" t="s">
        <v>110</v>
      </c>
      <c r="C8" s="312" t="e">
        <f>PROCENT_VERHOGING_NA_MAX*INDEX(Tabel3B[Afnameklanten op TRHS (∑)],1)</f>
        <v>#DIV/0!</v>
      </c>
      <c r="D8" s="313" t="e">
        <f>PROCENT_VERHOGING_NA_MAX*INDEX(Tabel3B[Afnameklanten op TRHS],1)</f>
        <v>#DIV/0!</v>
      </c>
      <c r="E8" s="314" t="e">
        <f>PROCENT_VERHOGING_NA_MAX*INDEX(Tabel3B[Afnameklanten op &gt;26-36 kV met AV ≥ 5MVA],1)</f>
        <v>#DIV/0!</v>
      </c>
      <c r="F8" s="315" t="e">
        <f>PROCENT_VERHOGING_NA_MAX*INDEX(Tabel3B[Afnameklanten op MS (∑)],1)</f>
        <v>#VALUE!</v>
      </c>
      <c r="G8" s="313" t="e">
        <f>PROCENT_VERHOGING_NA_MAX*INDEX(Tabel3B[Afnameklanten op &gt;26-36 kV met AV &lt; 5MVA],1)</f>
        <v>#VALUE!</v>
      </c>
      <c r="H8" s="316" t="e">
        <f>PROCENT_VERHOGING_NA_MAX*INDEX(Tabel3B[Afnameklanten op 26-1kV],1)</f>
        <v>#VALUE!</v>
      </c>
      <c r="I8" s="314" t="e">
        <f>PROCENT_VERHOGING_NA_MAX*INDEX(Tabel3B[Doorvoer op 26-1kV],1)</f>
        <v>#VALUE!</v>
      </c>
      <c r="J8" s="315" t="e">
        <f>PROCENT_VERHOGING_NA_MAX*INDEX(Tabel3B[Afnameklanten op TRLS (∑)],1)</f>
        <v>#VALUE!</v>
      </c>
      <c r="K8" s="312" t="e">
        <f>PROCENT_VERHOGING_NA_MAX*INDEX(Tabel3B[Afnameklanten op TRLS],1)</f>
        <v>#VALUE!</v>
      </c>
      <c r="L8" s="321" t="s">
        <v>122</v>
      </c>
      <c r="M8" s="320" t="s">
        <v>122</v>
      </c>
      <c r="N8" s="317" t="s">
        <v>122</v>
      </c>
      <c r="O8" s="324" t="s">
        <v>122</v>
      </c>
      <c r="P8" s="324" t="s">
        <v>122</v>
      </c>
      <c r="Q8" s="318" t="s">
        <v>122</v>
      </c>
      <c r="R8" s="340" t="str">
        <f>INDEX(Tabel3B[Injectieklanten (∑)],1)</f>
        <v xml:space="preserve"> </v>
      </c>
      <c r="S8" s="321" t="str">
        <f>INDEX(Tabel3B[Injectieklanten op TRHS],1)</f>
        <v xml:space="preserve"> </v>
      </c>
      <c r="T8" s="321" t="str">
        <f>INDEX(Tabel3B[Injectieklanten  op &gt;26-36kV],1)</f>
        <v xml:space="preserve"> </v>
      </c>
      <c r="U8" s="321" t="str">
        <f>INDEX(Tabel3B[Injectieklanten op 26-1kV],1)</f>
        <v xml:space="preserve"> </v>
      </c>
      <c r="V8" s="321" t="str">
        <f>INDEX(Tabel3B[Injectieklanten op TRLS],1)</f>
        <v xml:space="preserve"> </v>
      </c>
      <c r="W8" s="322" t="str">
        <f>INDEX(Tabel3B[Injectieklanten op LS],1)</f>
        <v xml:space="preserve"> </v>
      </c>
    </row>
    <row r="9" spans="1:23" ht="16.5">
      <c r="A9" s="132" t="s">
        <v>83</v>
      </c>
      <c r="B9" s="150" t="s">
        <v>111</v>
      </c>
      <c r="C9" s="312" t="e">
        <f>PROCENT_VERHOGING_NA_MAX*INDEX(Tabel3B[Afnameklanten op TRHS (∑)],2)</f>
        <v>#DIV/0!</v>
      </c>
      <c r="D9" s="313" t="e">
        <f>PROCENT_VERHOGING_NA_MAX*INDEX(Tabel3B[Afnameklanten op TRHS],2)</f>
        <v>#DIV/0!</v>
      </c>
      <c r="E9" s="314" t="e">
        <f>PROCENT_VERHOGING_NA_MAX*INDEX(Tabel3B[Afnameklanten op &gt;26-36 kV met AV ≥ 5MVA],2)</f>
        <v>#DIV/0!</v>
      </c>
      <c r="F9" s="315" t="e">
        <f>PROCENT_VERHOGING_NA_MAX*INDEX(Tabel3B[Afnameklanten op MS (∑)],2)</f>
        <v>#VALUE!</v>
      </c>
      <c r="G9" s="313" t="e">
        <f>PROCENT_VERHOGING_NA_MAX*INDEX(Tabel3B[Afnameklanten op &gt;26-36 kV met AV &lt; 5MVA],2)</f>
        <v>#VALUE!</v>
      </c>
      <c r="H9" s="316" t="e">
        <f>PROCENT_VERHOGING_NA_MAX*INDEX(Tabel3B[Afnameklanten op 26-1kV],2)</f>
        <v>#VALUE!</v>
      </c>
      <c r="I9" s="314" t="e">
        <f>PROCENT_VERHOGING_NA_MAX*INDEX(Tabel3B[Doorvoer op 26-1kV],2)</f>
        <v>#VALUE!</v>
      </c>
      <c r="J9" s="315" t="e">
        <f>PROCENT_VERHOGING_NA_MAX*INDEX(Tabel3B[Afnameklanten op TRLS (∑)],2)</f>
        <v>#VALUE!</v>
      </c>
      <c r="K9" s="312" t="e">
        <f>PROCENT_VERHOGING_NA_MAX*INDEX(Tabel3B[Afnameklanten op TRLS],2)</f>
        <v>#VALUE!</v>
      </c>
      <c r="L9" s="321"/>
      <c r="M9" s="320"/>
      <c r="N9" s="317"/>
      <c r="O9" s="324"/>
      <c r="P9" s="324"/>
      <c r="Q9" s="318"/>
      <c r="R9" s="340" t="str">
        <f>INDEX(Tabel3B[Injectieklanten (∑)],2)</f>
        <v xml:space="preserve"> </v>
      </c>
      <c r="S9" s="321" t="str">
        <f>INDEX(Tabel3B[Injectieklanten op TRHS],2)</f>
        <v xml:space="preserve"> </v>
      </c>
      <c r="T9" s="321" t="str">
        <f>INDEX(Tabel3B[Injectieklanten  op &gt;26-36kV],2)</f>
        <v xml:space="preserve"> </v>
      </c>
      <c r="U9" s="321" t="str">
        <f>INDEX(Tabel3B[Injectieklanten op 26-1kV],2)</f>
        <v xml:space="preserve"> </v>
      </c>
      <c r="V9" s="321" t="str">
        <f>INDEX(Tabel3B[Injectieklanten op TRLS],2)</f>
        <v xml:space="preserve"> </v>
      </c>
      <c r="W9" s="322" t="str">
        <f>INDEX(Tabel3B[Injectieklanten op LS],2)</f>
        <v xml:space="preserve"> </v>
      </c>
    </row>
    <row r="10" spans="1:23" ht="16.5">
      <c r="A10" s="132" t="s">
        <v>83</v>
      </c>
      <c r="B10" s="150" t="s">
        <v>112</v>
      </c>
      <c r="C10" s="312" t="e">
        <f>PROCENT_VERHOGING_NA_MAX*INDEX(Tabel3B[Afnameklanten op TRHS (∑)],3)</f>
        <v>#DIV/0!</v>
      </c>
      <c r="D10" s="313" t="e">
        <f>PROCENT_VERHOGING_NA_MAX*INDEX(Tabel3B[Afnameklanten op TRHS],3)</f>
        <v>#DIV/0!</v>
      </c>
      <c r="E10" s="314" t="e">
        <f>PROCENT_VERHOGING_NA_MAX*INDEX(Tabel3B[Afnameklanten op &gt;26-36 kV met AV ≥ 5MVA],3)</f>
        <v>#DIV/0!</v>
      </c>
      <c r="F10" s="315" t="e">
        <f>PROCENT_VERHOGING_NA_MAX*INDEX(Tabel3B[Afnameklanten op MS (∑)],3)</f>
        <v>#VALUE!</v>
      </c>
      <c r="G10" s="313" t="e">
        <f>PROCENT_VERHOGING_NA_MAX*INDEX(Tabel3B[Afnameklanten op &gt;26-36 kV met AV &lt; 5MVA],3)</f>
        <v>#VALUE!</v>
      </c>
      <c r="H10" s="316" t="e">
        <f>PROCENT_VERHOGING_NA_MAX*INDEX(Tabel3B[Afnameklanten op 26-1kV],3)</f>
        <v>#VALUE!</v>
      </c>
      <c r="I10" s="314" t="e">
        <f>PROCENT_VERHOGING_NA_MAX*INDEX(Tabel3B[Doorvoer op 26-1kV],3)</f>
        <v>#VALUE!</v>
      </c>
      <c r="J10" s="315" t="e">
        <f>PROCENT_VERHOGING_NA_MAX*INDEX(Tabel3B[Afnameklanten op TRLS (∑)],3)</f>
        <v>#VALUE!</v>
      </c>
      <c r="K10" s="312" t="e">
        <f>PROCENT_VERHOGING_NA_MAX*INDEX(Tabel3B[Afnameklanten op TRLS],3)</f>
        <v>#VALUE!</v>
      </c>
      <c r="L10" s="321"/>
      <c r="M10" s="320"/>
      <c r="N10" s="317"/>
      <c r="O10" s="324"/>
      <c r="P10" s="324"/>
      <c r="Q10" s="318"/>
      <c r="R10" s="340" t="str">
        <f>INDEX(Tabel3B[Injectieklanten (∑)],3)</f>
        <v xml:space="preserve"> </v>
      </c>
      <c r="S10" s="321" t="str">
        <f>INDEX(Tabel3B[Injectieklanten op TRHS],3)</f>
        <v xml:space="preserve"> </v>
      </c>
      <c r="T10" s="321" t="str">
        <f>INDEX(Tabel3B[Injectieklanten  op &gt;26-36kV],3)</f>
        <v xml:space="preserve"> </v>
      </c>
      <c r="U10" s="321" t="str">
        <f>INDEX(Tabel3B[Injectieklanten op 26-1kV],3)</f>
        <v xml:space="preserve"> </v>
      </c>
      <c r="V10" s="321" t="str">
        <f>INDEX(Tabel3B[Injectieklanten op TRLS],3)</f>
        <v xml:space="preserve"> </v>
      </c>
      <c r="W10" s="322" t="str">
        <f>INDEX(Tabel3B[Injectieklanten op LS],3)</f>
        <v xml:space="preserve"> </v>
      </c>
    </row>
    <row r="11" spans="1:23" ht="16.5">
      <c r="A11" s="132" t="s">
        <v>83</v>
      </c>
      <c r="B11" s="150" t="s">
        <v>113</v>
      </c>
      <c r="C11" s="323"/>
      <c r="D11" s="320"/>
      <c r="E11" s="318"/>
      <c r="F11" s="322"/>
      <c r="G11" s="320"/>
      <c r="H11" s="317"/>
      <c r="I11" s="318"/>
      <c r="J11" s="322"/>
      <c r="K11" s="323"/>
      <c r="L11" s="326"/>
      <c r="M11" s="325" t="e">
        <f>PROCENT_VERHOGING_NA_MAX*INDEX(Tabel3B[Afnameklanten op LS met piekmeting],4)</f>
        <v>#DIV/0!</v>
      </c>
      <c r="N11" s="345" t="e">
        <f>PROCENT_VERHOGING_NA_MAX*INDEX(Tabel3B[Doorvoer op LS met piekmeting],4)</f>
        <v>#DIV/0!</v>
      </c>
      <c r="O11" s="324"/>
      <c r="P11" s="324"/>
      <c r="Q11" s="318"/>
      <c r="R11" s="340" t="str">
        <f>INDEX(Tabel3B[Injectieklanten (∑)],4)</f>
        <v xml:space="preserve"> </v>
      </c>
      <c r="S11" s="321" t="str">
        <f>INDEX(Tabel3B[Injectieklanten op TRHS],4)</f>
        <v xml:space="preserve"> </v>
      </c>
      <c r="T11" s="321" t="str">
        <f>INDEX(Tabel3B[Injectieklanten  op &gt;26-36kV],4)</f>
        <v xml:space="preserve"> </v>
      </c>
      <c r="U11" s="321" t="str">
        <f>INDEX(Tabel3B[Injectieklanten op 26-1kV],4)</f>
        <v xml:space="preserve"> </v>
      </c>
      <c r="V11" s="321" t="str">
        <f>INDEX(Tabel3B[Injectieklanten op TRLS],4)</f>
        <v xml:space="preserve"> </v>
      </c>
      <c r="W11" s="322" t="str">
        <f>INDEX(Tabel3B[Injectieklanten op LS],4)</f>
        <v xml:space="preserve"> </v>
      </c>
    </row>
    <row r="12" spans="1:23" ht="16.5">
      <c r="A12" s="132" t="s">
        <v>83</v>
      </c>
      <c r="B12" s="150" t="s">
        <v>114</v>
      </c>
      <c r="C12" s="323"/>
      <c r="D12" s="320"/>
      <c r="E12" s="318"/>
      <c r="F12" s="322"/>
      <c r="G12" s="320"/>
      <c r="H12" s="317"/>
      <c r="I12" s="318"/>
      <c r="J12" s="322"/>
      <c r="K12" s="323"/>
      <c r="L12" s="326"/>
      <c r="M12" s="320"/>
      <c r="N12" s="317"/>
      <c r="O12" s="319" t="e">
        <f>PROCENT_VERHOGING_NA_MAX*INDEX(Tabel3B[Afnameklanten op LS met klassieke meter],5)</f>
        <v>#DIV/0!</v>
      </c>
      <c r="P12" s="319" t="e">
        <f>PROCENT_VERHOGING_NA_MAX*INDEX(Tabel3B[Doorvoer op LS zonder piekmeting],5)</f>
        <v>#DIV/0!</v>
      </c>
      <c r="Q12" s="318"/>
      <c r="R12" s="340" t="str">
        <f>INDEX(Tabel3B[Injectieklanten (∑)],5)</f>
        <v xml:space="preserve"> </v>
      </c>
      <c r="S12" s="321" t="str">
        <f>INDEX(Tabel3B[Injectieklanten op TRHS],5)</f>
        <v xml:space="preserve"> </v>
      </c>
      <c r="T12" s="321" t="str">
        <f>INDEX(Tabel3B[Injectieklanten  op &gt;26-36kV],5)</f>
        <v xml:space="preserve"> </v>
      </c>
      <c r="U12" s="321" t="str">
        <f>INDEX(Tabel3B[Injectieklanten op 26-1kV],5)</f>
        <v xml:space="preserve"> </v>
      </c>
      <c r="V12" s="321" t="str">
        <f>INDEX(Tabel3B[Injectieklanten op TRLS],5)</f>
        <v xml:space="preserve"> </v>
      </c>
      <c r="W12" s="322" t="str">
        <f>INDEX(Tabel3B[Injectieklanten op LS],5)</f>
        <v xml:space="preserve"> </v>
      </c>
    </row>
    <row r="13" spans="1:23" ht="16.5">
      <c r="A13" s="132" t="s">
        <v>83</v>
      </c>
      <c r="B13" s="150" t="s">
        <v>115</v>
      </c>
      <c r="C13" s="323"/>
      <c r="D13" s="320"/>
      <c r="E13" s="318"/>
      <c r="F13" s="322"/>
      <c r="G13" s="320"/>
      <c r="H13" s="317"/>
      <c r="I13" s="318"/>
      <c r="J13" s="322"/>
      <c r="K13" s="323"/>
      <c r="L13" s="326"/>
      <c r="M13" s="325" t="e">
        <f>PROCENT_VERHOGING_NA_MAX*INDEX(Tabel3B[Afnameklanten op LS met piekmeting],6)</f>
        <v>#DIV/0!</v>
      </c>
      <c r="N13" s="345" t="e">
        <f>PROCENT_VERHOGING_NA_MAX*INDEX(Tabel3B[Doorvoer op LS met piekmeting],6)</f>
        <v>#DIV/0!</v>
      </c>
      <c r="O13" s="319" t="e">
        <f>PROCENT_VERHOGING_NA_MAX*INDEX(Tabel3B[Afnameklanten op LS met klassieke meter],6)</f>
        <v>#DIV/0!</v>
      </c>
      <c r="P13" s="319" t="e">
        <f>PROCENT_VERHOGING_NA_MAX*INDEX(Tabel3B[Doorvoer op LS zonder piekmeting],6)</f>
        <v>#DIV/0!</v>
      </c>
      <c r="Q13" s="318"/>
      <c r="R13" s="340" t="str">
        <f>INDEX(Tabel3B[Injectieklanten (∑)],6)</f>
        <v xml:space="preserve"> </v>
      </c>
      <c r="S13" s="321" t="str">
        <f>INDEX(Tabel3B[Injectieklanten op TRHS],6)</f>
        <v xml:space="preserve"> </v>
      </c>
      <c r="T13" s="321" t="str">
        <f>INDEX(Tabel3B[Injectieklanten  op &gt;26-36kV],6)</f>
        <v xml:space="preserve"> </v>
      </c>
      <c r="U13" s="321" t="str">
        <f>INDEX(Tabel3B[Injectieklanten op 26-1kV],6)</f>
        <v xml:space="preserve"> </v>
      </c>
      <c r="V13" s="321" t="str">
        <f>INDEX(Tabel3B[Injectieklanten op TRLS],6)</f>
        <v xml:space="preserve"> </v>
      </c>
      <c r="W13" s="322" t="str">
        <f>INDEX(Tabel3B[Injectieklanten op LS],6)</f>
        <v xml:space="preserve"> </v>
      </c>
    </row>
    <row r="14" spans="1:23" ht="16.5">
      <c r="A14" s="132" t="s">
        <v>83</v>
      </c>
      <c r="B14" s="150" t="s">
        <v>116</v>
      </c>
      <c r="C14" s="323"/>
      <c r="D14" s="320"/>
      <c r="E14" s="318"/>
      <c r="F14" s="322"/>
      <c r="G14" s="320"/>
      <c r="H14" s="317"/>
      <c r="I14" s="318"/>
      <c r="J14" s="322"/>
      <c r="K14" s="323"/>
      <c r="L14" s="321"/>
      <c r="M14" s="320"/>
      <c r="N14" s="317"/>
      <c r="O14" s="324"/>
      <c r="P14" s="324"/>
      <c r="Q14" s="318"/>
      <c r="R14" s="341" t="e">
        <f>INDEX(Tabel3B[Injectieklanten (∑)],7)</f>
        <v>#VALUE!</v>
      </c>
      <c r="S14" s="326" t="e">
        <f>INDEX(Tabel3B[Injectieklanten op TRHS],7)</f>
        <v>#VALUE!</v>
      </c>
      <c r="T14" s="326" t="e">
        <f>INDEX(Tabel3B[Injectieklanten  op &gt;26-36kV],7)</f>
        <v>#VALUE!</v>
      </c>
      <c r="U14" s="326" t="e">
        <f>INDEX(Tabel3B[Injectieklanten op 26-1kV],7)</f>
        <v>#VALUE!</v>
      </c>
      <c r="V14" s="326" t="e">
        <f>INDEX(Tabel3B[Injectieklanten op TRLS],7)</f>
        <v>#VALUE!</v>
      </c>
      <c r="W14" s="326" t="e">
        <f>INDEX(Tabel3B[Injectieklanten op LS],7)</f>
        <v>#VALUE!</v>
      </c>
    </row>
    <row r="15" spans="1:23">
      <c r="A15" s="132" t="s">
        <v>13</v>
      </c>
      <c r="B15" s="150" t="s">
        <v>197</v>
      </c>
      <c r="C15" s="312" t="e">
        <f>INDEX(Tabel3B[Afnameklanten op TRHS (∑)],8)</f>
        <v>#VALUE!</v>
      </c>
      <c r="D15" s="313" t="e">
        <f>INDEX(Tabel3B[Afnameklanten op TRHS],8)</f>
        <v>#VALUE!</v>
      </c>
      <c r="E15" s="314" t="e">
        <f>INDEX(Tabel3B[Afnameklanten op &gt;26-36 kV met AV ≥ 5MVA],8)</f>
        <v>#VALUE!</v>
      </c>
      <c r="F15" s="315" t="e">
        <f>INDEX(Tabel3B[Afnameklanten op MS (∑)],8)</f>
        <v>#VALUE!</v>
      </c>
      <c r="G15" s="313" t="e">
        <f>INDEX(Tabel3B[Afnameklanten op &gt;26-36 kV met AV &lt; 5MVA],8)</f>
        <v>#VALUE!</v>
      </c>
      <c r="H15" s="316" t="e">
        <f>INDEX(Tabel3B[Afnameklanten op 26-1kV],8)</f>
        <v>#VALUE!</v>
      </c>
      <c r="I15" s="314" t="e">
        <f>INDEX(Tabel3B[Doorvoer op 26-1kV],8)</f>
        <v>#VALUE!</v>
      </c>
      <c r="J15" s="315" t="e">
        <f>INDEX(Tabel3B[Afnameklanten op TRLS (∑)],8)</f>
        <v>#VALUE!</v>
      </c>
      <c r="K15" s="312" t="e">
        <f>INDEX(Tabel3B[Afnameklanten op TRLS],8)</f>
        <v>#VALUE!</v>
      </c>
      <c r="L15" s="321"/>
      <c r="M15" s="320"/>
      <c r="N15" s="317"/>
      <c r="O15" s="324"/>
      <c r="P15" s="324"/>
      <c r="Q15" s="318"/>
      <c r="R15" s="340" t="str">
        <f>INDEX(Tabel3B[Injectieklanten (∑)],8)</f>
        <v xml:space="preserve"> </v>
      </c>
      <c r="S15" s="321" t="str">
        <f>INDEX(Tabel3B[Injectieklanten op TRHS],8)</f>
        <v xml:space="preserve"> </v>
      </c>
      <c r="T15" s="321" t="str">
        <f>INDEX(Tabel3B[Injectieklanten  op &gt;26-36kV],8)</f>
        <v xml:space="preserve"> </v>
      </c>
      <c r="U15" s="321" t="str">
        <f>INDEX(Tabel3B[Injectieklanten op 26-1kV],8)</f>
        <v xml:space="preserve"> </v>
      </c>
      <c r="V15" s="321" t="str">
        <f>INDEX(Tabel3B[Injectieklanten op TRLS],8)</f>
        <v xml:space="preserve"> </v>
      </c>
      <c r="W15" s="322" t="str">
        <f>INDEX(Tabel3B[Injectieklanten op LS],8)</f>
        <v xml:space="preserve"> </v>
      </c>
    </row>
    <row r="16" spans="1:23">
      <c r="A16" s="132" t="s">
        <v>84</v>
      </c>
      <c r="B16" s="150" t="s">
        <v>7</v>
      </c>
      <c r="C16" s="355" t="e">
        <f>INDEX(Tabel3B[Afnameklanten op TRHS (∑)],9)</f>
        <v>#DIV/0!</v>
      </c>
      <c r="D16" s="174" t="e">
        <f>INDEX(Tabel3B[Afnameklanten op TRHS],9)</f>
        <v>#DIV/0!</v>
      </c>
      <c r="E16" s="175" t="e">
        <f>INDEX(Tabel3B[Afnameklanten op &gt;26-36 kV met AV ≥ 5MVA],9)</f>
        <v>#DIV/0!</v>
      </c>
      <c r="F16" s="358" t="e">
        <f>INDEX(Tabel3B[Afnameklanten op MS (∑)],9)</f>
        <v>#DIV/0!</v>
      </c>
      <c r="G16" s="174" t="e">
        <f>INDEX(Tabel3B[Afnameklanten op &gt;26-36 kV met AV &lt; 5MVA],9)</f>
        <v>#DIV/0!</v>
      </c>
      <c r="H16" s="265" t="e">
        <f>INDEX(Tabel3B[Afnameklanten op 26-1kV],9)</f>
        <v>#DIV/0!</v>
      </c>
      <c r="I16" s="175" t="e">
        <f>INDEX(Tabel3B[Doorvoer op 26-1kV],9)</f>
        <v>#DIV/0!</v>
      </c>
      <c r="J16" s="358" t="e">
        <f>INDEX(Tabel3B[Afnameklanten op TRLS (∑)],9)</f>
        <v>#DIV/0!</v>
      </c>
      <c r="K16" s="355" t="e">
        <f>INDEX(Tabel3B[Afnameklanten op TRLS],9)</f>
        <v>#DIV/0!</v>
      </c>
      <c r="L16" s="268" t="e">
        <f>INDEX(Tabel3B[Afnameklanten op LS (∑)],9)</f>
        <v>#DIV/0!</v>
      </c>
      <c r="M16" s="174" t="e">
        <f>INDEX(Tabel3B[Afnameklanten op LS met piekmeting],9)</f>
        <v>#DIV/0!</v>
      </c>
      <c r="N16" s="265" t="e">
        <f>INDEX(Tabel3B[Doorvoer op LS met piekmeting],9)</f>
        <v>#DIV/0!</v>
      </c>
      <c r="O16" s="574"/>
      <c r="P16" s="574"/>
      <c r="Q16" s="352"/>
      <c r="R16" s="575" t="str">
        <f>INDEX(Tabel3B[Injectieklanten (∑)],9)</f>
        <v xml:space="preserve"> </v>
      </c>
      <c r="S16" s="353" t="str">
        <f>INDEX(Tabel3B[Injectieklanten op TRHS],9)</f>
        <v xml:space="preserve"> </v>
      </c>
      <c r="T16" s="353" t="str">
        <f>INDEX(Tabel3B[Injectieklanten  op &gt;26-36kV],9)</f>
        <v xml:space="preserve"> </v>
      </c>
      <c r="U16" s="353" t="str">
        <f>INDEX(Tabel3B[Injectieklanten op 26-1kV],9)</f>
        <v xml:space="preserve"> </v>
      </c>
      <c r="V16" s="353" t="str">
        <f>INDEX(Tabel3B[Injectieklanten op TRLS],9)</f>
        <v xml:space="preserve"> </v>
      </c>
      <c r="W16" s="576" t="str">
        <f>INDEX(Tabel3B[Injectieklanten op LS],9)</f>
        <v xml:space="preserve"> </v>
      </c>
    </row>
    <row r="17" spans="1:23">
      <c r="A17" s="132" t="s">
        <v>84</v>
      </c>
      <c r="B17" s="150" t="s">
        <v>8</v>
      </c>
      <c r="C17" s="355" t="e">
        <f>INDEX(Tabel3B[Afnameklanten op TRHS (∑)],10)</f>
        <v>#DIV/0!</v>
      </c>
      <c r="D17" s="174" t="e">
        <f>INDEX(Tabel3B[Afnameklanten op TRHS],10)</f>
        <v>#DIV/0!</v>
      </c>
      <c r="E17" s="175" t="e">
        <f>INDEX(Tabel3B[Afnameklanten op &gt;26-36 kV met AV ≥ 5MVA],10)</f>
        <v>#DIV/0!</v>
      </c>
      <c r="F17" s="358" t="e">
        <f>INDEX(Tabel3B[Afnameklanten op MS (∑)],10)</f>
        <v>#DIV/0!</v>
      </c>
      <c r="G17" s="174" t="e">
        <f>INDEX(Tabel3B[Afnameklanten op &gt;26-36 kV met AV &lt; 5MVA],10)</f>
        <v>#DIV/0!</v>
      </c>
      <c r="H17" s="265" t="e">
        <f>INDEX(Tabel3B[Afnameklanten op 26-1kV],10)</f>
        <v>#DIV/0!</v>
      </c>
      <c r="I17" s="175" t="e">
        <f>INDEX(Tabel3B[Doorvoer op 26-1kV],10)</f>
        <v>#DIV/0!</v>
      </c>
      <c r="J17" s="358" t="e">
        <f>INDEX(Tabel3B[Afnameklanten op TRLS (∑)],10)</f>
        <v>#DIV/0!</v>
      </c>
      <c r="K17" s="355" t="e">
        <f>INDEX(Tabel3B[Afnameklanten op TRLS],10)</f>
        <v>#DIV/0!</v>
      </c>
      <c r="L17" s="264" t="e">
        <f>INDEX(Tabel3B[Afnameklanten op LS (∑)],10)</f>
        <v>#DIV/0!</v>
      </c>
      <c r="M17" s="174" t="e">
        <f>INDEX(Tabel3B[Afnameklanten op LS met piekmeting],10)</f>
        <v>#DIV/0!</v>
      </c>
      <c r="N17" s="265" t="e">
        <f>INDEX(Tabel3B[Doorvoer op LS met piekmeting],10)</f>
        <v>#DIV/0!</v>
      </c>
      <c r="O17" s="574"/>
      <c r="P17" s="574"/>
      <c r="Q17" s="352"/>
      <c r="R17" s="575"/>
      <c r="S17" s="353"/>
      <c r="T17" s="353"/>
      <c r="U17" s="353"/>
      <c r="V17" s="353"/>
      <c r="W17" s="576"/>
    </row>
    <row r="18" spans="1:23">
      <c r="A18" s="132" t="s">
        <v>84</v>
      </c>
      <c r="B18" s="150" t="s">
        <v>273</v>
      </c>
      <c r="C18" s="356"/>
      <c r="D18" s="354"/>
      <c r="E18" s="352"/>
      <c r="F18" s="576"/>
      <c r="G18" s="354"/>
      <c r="H18" s="351"/>
      <c r="I18" s="352"/>
      <c r="J18" s="576"/>
      <c r="K18" s="356"/>
      <c r="L18" s="264" t="e">
        <f>INDEX(Tabel3B[Afnameklanten op LS (∑)],11)</f>
        <v>#DIV/0!</v>
      </c>
      <c r="M18" s="174" t="e">
        <f>INDEX(Tabel3B[Afnameklanten op LS met piekmeting],11)</f>
        <v>#DIV/0!</v>
      </c>
      <c r="N18" s="351"/>
      <c r="O18" s="574"/>
      <c r="P18" s="574"/>
      <c r="Q18" s="352"/>
      <c r="R18" s="575"/>
      <c r="S18" s="353"/>
      <c r="T18" s="353"/>
      <c r="U18" s="353"/>
      <c r="V18" s="353"/>
      <c r="W18" s="576"/>
    </row>
    <row r="19" spans="1:23">
      <c r="A19" s="132" t="s">
        <v>84</v>
      </c>
      <c r="B19" s="150" t="s">
        <v>274</v>
      </c>
      <c r="C19" s="356"/>
      <c r="D19" s="354"/>
      <c r="E19" s="352"/>
      <c r="F19" s="576"/>
      <c r="G19" s="354"/>
      <c r="H19" s="351"/>
      <c r="I19" s="352"/>
      <c r="J19" s="576"/>
      <c r="K19" s="356"/>
      <c r="L19" s="264" t="e">
        <f>INDEX(Tabel3B[Afnameklanten op LS (∑)],12)</f>
        <v>#DIV/0!</v>
      </c>
      <c r="M19" s="174" t="e">
        <f>INDEX(Tabel3B[Afnameklanten op LS met piekmeting],12)</f>
        <v>#DIV/0!</v>
      </c>
      <c r="N19" s="351"/>
      <c r="O19" s="574"/>
      <c r="P19" s="574"/>
      <c r="Q19" s="352"/>
      <c r="R19" s="575"/>
      <c r="S19" s="353"/>
      <c r="T19" s="353"/>
      <c r="U19" s="353"/>
      <c r="V19" s="353"/>
      <c r="W19" s="576"/>
    </row>
    <row r="20" spans="1:23">
      <c r="A20" s="132" t="s">
        <v>84</v>
      </c>
      <c r="B20" s="150" t="s">
        <v>129</v>
      </c>
      <c r="C20" s="356"/>
      <c r="D20" s="354"/>
      <c r="E20" s="352"/>
      <c r="F20" s="576"/>
      <c r="G20" s="354"/>
      <c r="H20" s="351"/>
      <c r="I20" s="352"/>
      <c r="J20" s="576"/>
      <c r="K20" s="356"/>
      <c r="L20" s="264" t="e">
        <f>INDEX(Tabel3B[Afnameklanten op LS (∑)],13)</f>
        <v>#DIV/0!</v>
      </c>
      <c r="M20" s="354"/>
      <c r="N20" s="266"/>
      <c r="O20" s="265" t="e">
        <f>INDEX(Tabel3B[Afnameklanten op LS met klassieke meter],13)</f>
        <v>#DIV/0!</v>
      </c>
      <c r="P20" s="265" t="e">
        <f>INDEX(Tabel3B[Doorvoer op LS zonder piekmeting],13)</f>
        <v>#DIV/0!</v>
      </c>
      <c r="Q20" s="352"/>
      <c r="R20" s="575"/>
      <c r="S20" s="353"/>
      <c r="T20" s="353"/>
      <c r="U20" s="353"/>
      <c r="V20" s="353"/>
      <c r="W20" s="576"/>
    </row>
    <row r="21" spans="1:23">
      <c r="A21" s="132" t="s">
        <v>84</v>
      </c>
      <c r="B21" s="150" t="s">
        <v>342</v>
      </c>
      <c r="C21" s="356"/>
      <c r="D21" s="354"/>
      <c r="E21" s="352"/>
      <c r="F21" s="576"/>
      <c r="G21" s="354"/>
      <c r="H21" s="351"/>
      <c r="I21" s="352"/>
      <c r="J21" s="576"/>
      <c r="K21" s="356"/>
      <c r="L21" s="353"/>
      <c r="M21" s="354"/>
      <c r="N21" s="266"/>
      <c r="O21" s="351"/>
      <c r="P21" s="351"/>
      <c r="Q21" s="352"/>
      <c r="R21" s="357" t="e">
        <f>INDEX(Tabel3B[Injectieklanten (∑)],14)</f>
        <v>#DIV/0!</v>
      </c>
      <c r="S21" s="357" t="e">
        <f>INDEX(Tabel3B[Injectieklanten op TRHS],14)</f>
        <v>#DIV/0!</v>
      </c>
      <c r="T21" s="357" t="e">
        <f>INDEX(Tabel3B[Injectieklanten  op &gt;26-36kV],14)</f>
        <v>#DIV/0!</v>
      </c>
      <c r="U21" s="357" t="e">
        <f>INDEX(Tabel3B[Injectieklanten op 26-1kV],14)</f>
        <v>#DIV/0!</v>
      </c>
      <c r="V21" s="357" t="e">
        <f>INDEX(Tabel3B[Injectieklanten op TRLS],14)</f>
        <v>#DIV/0!</v>
      </c>
      <c r="W21" s="357" t="e">
        <f>INDEX(Tabel3B[Injectieklanten op LS],14)</f>
        <v>#DIV/0!</v>
      </c>
    </row>
    <row r="22" spans="1:23" ht="16.5">
      <c r="A22" s="132" t="s">
        <v>85</v>
      </c>
      <c r="B22" s="150" t="s">
        <v>217</v>
      </c>
      <c r="C22" s="312" t="e">
        <f>INDEX(Tabel3B[Afnameklanten op TRHS (∑)],15)</f>
        <v>#VALUE!</v>
      </c>
      <c r="D22" s="313" t="e">
        <f>INDEX(Tabel3B[Afnameklanten op TRHS],15)</f>
        <v>#VALUE!</v>
      </c>
      <c r="E22" s="314" t="e">
        <f>INDEX(Tabel3B[Afnameklanten op &gt;26-36 kV met AV ≥ 5MVA],15)</f>
        <v>#VALUE!</v>
      </c>
      <c r="F22" s="315" t="e">
        <f>INDEX(Tabel3B[Afnameklanten op MS (∑)],15)</f>
        <v>#VALUE!</v>
      </c>
      <c r="G22" s="313" t="e">
        <f>INDEX(Tabel3B[Afnameklanten op &gt;26-36 kV met AV &lt; 5MVA],15)</f>
        <v>#VALUE!</v>
      </c>
      <c r="H22" s="316" t="e">
        <f>INDEX(Tabel3B[Afnameklanten op 26-1kV],15)</f>
        <v>#VALUE!</v>
      </c>
      <c r="I22" s="314" t="e">
        <f>INDEX(Tabel3B[Doorvoer op 26-1kV],15)</f>
        <v>#VALUE!</v>
      </c>
      <c r="J22" s="315" t="e">
        <f>INDEX(Tabel3B[Afnameklanten op TRLS (∑)],15)</f>
        <v>#VALUE!</v>
      </c>
      <c r="K22" s="312" t="e">
        <f>INDEX(Tabel3B[Afnameklanten op TRLS],15)</f>
        <v>#VALUE!</v>
      </c>
      <c r="L22" s="326" t="e">
        <f>INDEX(Tabel3B[Afnameklanten op LS (∑)],15)</f>
        <v>#VALUE!</v>
      </c>
      <c r="M22" s="313" t="e">
        <f>INDEX(Tabel3B[Afnameklanten op LS met piekmeting],15)</f>
        <v>#VALUE!</v>
      </c>
      <c r="N22" s="316" t="e">
        <f>INDEX(Tabel3B[Doorvoer op LS met piekmeting],15)</f>
        <v>#VALUE!</v>
      </c>
      <c r="O22" s="316" t="e">
        <f>INDEX(Tabel3B[Afnameklanten op LS met klassieke meter],15)</f>
        <v>#VALUE!</v>
      </c>
      <c r="P22" s="316" t="e">
        <f>INDEX(Tabel3B[Doorvoer op LS zonder piekmeting],15)</f>
        <v>#VALUE!</v>
      </c>
      <c r="Q22" s="318"/>
      <c r="R22" s="340"/>
      <c r="S22" s="321"/>
      <c r="T22" s="321"/>
      <c r="U22" s="321"/>
      <c r="V22" s="321"/>
      <c r="W22" s="322"/>
    </row>
    <row r="23" spans="1:23" ht="16.5">
      <c r="A23" s="132" t="s">
        <v>85</v>
      </c>
      <c r="B23" s="150" t="s">
        <v>216</v>
      </c>
      <c r="C23" s="323"/>
      <c r="D23" s="320"/>
      <c r="E23" s="318"/>
      <c r="F23" s="315" t="e">
        <f>INDEX(Tabel3B[Afnameklanten op MS (∑)],16)</f>
        <v>#VALUE!</v>
      </c>
      <c r="G23" s="320"/>
      <c r="H23" s="316" t="e">
        <f>INDEX(Tabel3B[Afnameklanten op 26-1kV],16)</f>
        <v>#VALUE!</v>
      </c>
      <c r="I23" s="318"/>
      <c r="J23" s="315" t="e">
        <f>INDEX(Tabel3B[Afnameklanten op TRLS (∑)],16)</f>
        <v>#VALUE!</v>
      </c>
      <c r="K23" s="312" t="e">
        <f>INDEX(Tabel3B[Afnameklanten op TRLS],16)</f>
        <v>#VALUE!</v>
      </c>
      <c r="L23" s="579" t="e">
        <f>INDEX(Tabel3B[Afnameklanten op LS (∑)],16)</f>
        <v>#VALUE!</v>
      </c>
      <c r="M23" s="313" t="e">
        <f>INDEX(Tabel3B[Afnameklanten op LS met piekmeting],16)</f>
        <v>#VALUE!</v>
      </c>
      <c r="N23" s="344"/>
      <c r="O23" s="316" t="e">
        <f>INDEX(Tabel3B[Afnameklanten op LS met klassieke meter],16)</f>
        <v>#VALUE!</v>
      </c>
      <c r="P23" s="577"/>
      <c r="Q23" s="318"/>
      <c r="R23" s="340"/>
      <c r="S23" s="321"/>
      <c r="T23" s="321"/>
      <c r="U23" s="321"/>
      <c r="V23" s="321"/>
      <c r="W23" s="322"/>
    </row>
    <row r="24" spans="1:23" ht="16.5">
      <c r="A24" s="132" t="s">
        <v>9</v>
      </c>
      <c r="B24" s="150" t="s">
        <v>115</v>
      </c>
      <c r="C24" s="312" t="e">
        <f>INDEX(Tabel3B[Afnameklanten op TRHS (∑)],17)</f>
        <v>#VALUE!</v>
      </c>
      <c r="D24" s="313" t="e">
        <f>INDEX(Tabel3B[Afnameklanten op TRHS],17)</f>
        <v>#VALUE!</v>
      </c>
      <c r="E24" s="314" t="e">
        <f>INDEX(Tabel3B[Afnameklanten op &gt;26-36 kV met AV ≥ 5MVA],17)</f>
        <v>#VALUE!</v>
      </c>
      <c r="F24" s="315" t="e">
        <f>INDEX(Tabel3B[Afnameklanten op MS (∑)],17)</f>
        <v>#VALUE!</v>
      </c>
      <c r="G24" s="313" t="e">
        <f>INDEX(Tabel3B[Afnameklanten op &gt;26-36 kV met AV &lt; 5MVA],17)</f>
        <v>#VALUE!</v>
      </c>
      <c r="H24" s="316" t="e">
        <f>INDEX(Tabel3B[Afnameklanten op 26-1kV],17)</f>
        <v>#VALUE!</v>
      </c>
      <c r="I24" s="314" t="e">
        <f>INDEX(Tabel3B[Doorvoer op 26-1kV],17)</f>
        <v>#VALUE!</v>
      </c>
      <c r="J24" s="315" t="e">
        <f>INDEX(Tabel3B[Afnameklanten op TRLS (∑)],17)</f>
        <v>#VALUE!</v>
      </c>
      <c r="K24" s="312" t="e">
        <f>INDEX(Tabel3B[Afnameklanten op TRLS],17)</f>
        <v>#VALUE!</v>
      </c>
      <c r="L24" s="326" t="e">
        <f>INDEX(Tabel3B[Afnameklanten op LS (∑)],17)</f>
        <v>#VALUE!</v>
      </c>
      <c r="M24" s="313" t="e">
        <f>INDEX(Tabel3B[Afnameklanten op LS met piekmeting],17)</f>
        <v>#VALUE!</v>
      </c>
      <c r="N24" s="316" t="e">
        <f>INDEX(Tabel3B[Doorvoer op LS met piekmeting],17)</f>
        <v>#VALUE!</v>
      </c>
      <c r="O24" s="316" t="e">
        <f>INDEX(Tabel3B[Afnameklanten op LS met klassieke meter],17)</f>
        <v>#VALUE!</v>
      </c>
      <c r="P24" s="316" t="e">
        <f>INDEX(Tabel3B[Doorvoer op LS zonder piekmeting],17)</f>
        <v>#VALUE!</v>
      </c>
      <c r="Q24" s="318"/>
      <c r="R24" s="340"/>
      <c r="S24" s="321"/>
      <c r="T24" s="321"/>
      <c r="U24" s="321"/>
      <c r="V24" s="321"/>
      <c r="W24" s="322"/>
    </row>
    <row r="25" spans="1:23" ht="16.5">
      <c r="A25" s="133" t="s">
        <v>86</v>
      </c>
      <c r="B25" s="151" t="s">
        <v>272</v>
      </c>
      <c r="C25" s="312"/>
      <c r="D25" s="328"/>
      <c r="E25" s="329"/>
      <c r="F25" s="315"/>
      <c r="G25" s="328"/>
      <c r="H25" s="331"/>
      <c r="I25" s="329"/>
      <c r="J25" s="330"/>
      <c r="K25" s="327"/>
      <c r="L25" s="573"/>
      <c r="M25" s="313"/>
      <c r="N25" s="345"/>
      <c r="O25" s="316"/>
      <c r="P25" s="343"/>
      <c r="Q25" s="338"/>
      <c r="R25" s="342"/>
      <c r="S25" s="334"/>
      <c r="T25" s="334"/>
      <c r="U25" s="334"/>
      <c r="V25" s="334"/>
      <c r="W25" s="335"/>
    </row>
    <row r="26" spans="1:23" ht="16.5">
      <c r="A26" s="578" t="s">
        <v>560</v>
      </c>
      <c r="B26" s="151" t="s">
        <v>272</v>
      </c>
      <c r="C26" s="327" t="e">
        <f>INDEX(Tabel3B[Afnameklanten op TRHS (∑)],19)</f>
        <v>#DIV/0!</v>
      </c>
      <c r="D26" s="328" t="e">
        <f>INDEX(Tabel3B[Afnameklanten op TRHS],19)</f>
        <v>#DIV/0!</v>
      </c>
      <c r="E26" s="329" t="e">
        <f>INDEX(Tabel3B[Afnameklanten op &gt;26-36 kV met AV ≥ 5MVA],19)</f>
        <v>#DIV/0!</v>
      </c>
      <c r="F26" s="330" t="e">
        <f>INDEX(Tabel3B[Afnameklanten op MS (∑)],19)</f>
        <v>#DIV/0!</v>
      </c>
      <c r="G26" s="328" t="e">
        <f>INDEX(Tabel3B[Afnameklanten op &gt;26-36 kV met AV &lt; 5MVA],19)</f>
        <v>#DIV/0!</v>
      </c>
      <c r="H26" s="331" t="e">
        <f>INDEX(Tabel3B[Afnameklanten op 26-1kV],19)</f>
        <v>#DIV/0!</v>
      </c>
      <c r="I26" s="329" t="e">
        <f>INDEX(Tabel3B[Doorvoer op 26-1kV],19)</f>
        <v>#DIV/0!</v>
      </c>
      <c r="J26" s="330" t="e">
        <f>INDEX(Tabel3B[Afnameklanten op TRLS (∑)],19)</f>
        <v>#DIV/0!</v>
      </c>
      <c r="K26" s="327" t="e">
        <f>INDEX(Tabel3B[Afnameklanten op TRLS],19)</f>
        <v>#DIV/0!</v>
      </c>
      <c r="L26" s="326" t="e">
        <f>INDEX(Tabel3B[Afnameklanten op LS (∑)],19)</f>
        <v>#DIV/0!</v>
      </c>
      <c r="M26" s="328" t="e">
        <f>INDEX(Tabel3B[Afnameklanten op LS met piekmeting],19)</f>
        <v>#DIV/0!</v>
      </c>
      <c r="N26" s="316" t="e">
        <f>INDEX(Tabel3B[Doorvoer op LS met piekmeting],19)</f>
        <v>#DIV/0!</v>
      </c>
      <c r="O26" s="333" t="e">
        <f>INDEX(Tabel3B[Afnameklanten op LS met klassieke meter],19)</f>
        <v>#DIV/0!</v>
      </c>
      <c r="P26" s="333" t="e">
        <f>INDEX(Tabel3B[Doorvoer op LS zonder piekmeting],19)</f>
        <v>#DIV/0!</v>
      </c>
      <c r="Q26" s="338"/>
      <c r="R26" s="342"/>
      <c r="S26" s="334"/>
      <c r="T26" s="334"/>
      <c r="U26" s="334"/>
      <c r="V26" s="334"/>
      <c r="W26" s="335"/>
    </row>
    <row r="27" spans="1:23" ht="16.5">
      <c r="A27" s="133" t="s">
        <v>322</v>
      </c>
      <c r="B27" s="151" t="s">
        <v>272</v>
      </c>
      <c r="C27" s="327" t="e">
        <f>INDEX(Tabel3B[Afnameklanten op TRHS (∑)],20)</f>
        <v>#DIV/0!</v>
      </c>
      <c r="D27" s="328" t="e">
        <f>INDEX(Tabel3B[Afnameklanten op TRHS],20)</f>
        <v>#DIV/0!</v>
      </c>
      <c r="E27" s="329" t="e">
        <f>INDEX(Tabel3B[Afnameklanten op &gt;26-36 kV met AV ≥ 5MVA],20)</f>
        <v>#DIV/0!</v>
      </c>
      <c r="F27" s="330" t="e">
        <f>INDEX(Tabel3B[Afnameklanten op MS (∑)],20)</f>
        <v>#DIV/0!</v>
      </c>
      <c r="G27" s="328" t="e">
        <f>INDEX(Tabel3B[Afnameklanten op &gt;26-36 kV met AV &lt; 5MVA],20)</f>
        <v>#DIV/0!</v>
      </c>
      <c r="H27" s="331" t="e">
        <f>INDEX(Tabel3B[Afnameklanten op 26-1kV],20)</f>
        <v>#DIV/0!</v>
      </c>
      <c r="I27" s="329" t="e">
        <f>INDEX(Tabel3B[Doorvoer op 26-1kV],20)</f>
        <v>#DIV/0!</v>
      </c>
      <c r="J27" s="330" t="e">
        <f>INDEX(Tabel3B[Afnameklanten op TRLS (∑)],20)</f>
        <v>#DIV/0!</v>
      </c>
      <c r="K27" s="327" t="e">
        <f>INDEX(Tabel3B[Afnameklanten op TRLS],20)</f>
        <v>#DIV/0!</v>
      </c>
      <c r="L27" s="326" t="e">
        <f>INDEX(Tabel3B[Afnameklanten op LS (∑)],20)</f>
        <v>#DIV/0!</v>
      </c>
      <c r="M27" s="328" t="e">
        <f>INDEX(Tabel3B[Afnameklanten op LS met piekmeting],20)</f>
        <v>#DIV/0!</v>
      </c>
      <c r="N27" s="316" t="e">
        <f>INDEX(Tabel3B[Doorvoer op LS met piekmeting],20)</f>
        <v>#DIV/0!</v>
      </c>
      <c r="O27" s="333" t="e">
        <f>INDEX(Tabel3B[Afnameklanten op LS met klassieke meter],20)</f>
        <v>#DIV/0!</v>
      </c>
      <c r="P27" s="333" t="e">
        <f>INDEX(Tabel3B[Doorvoer op LS zonder piekmeting],20)</f>
        <v>#DIV/0!</v>
      </c>
      <c r="Q27" s="338"/>
      <c r="R27" s="342"/>
      <c r="S27" s="334"/>
      <c r="T27" s="334"/>
      <c r="U27" s="334"/>
      <c r="V27" s="334"/>
      <c r="W27" s="335"/>
    </row>
    <row r="28" spans="1:23" ht="17" thickBot="1">
      <c r="A28" s="133" t="s">
        <v>526</v>
      </c>
      <c r="B28" s="347" t="s">
        <v>153</v>
      </c>
      <c r="C28" s="336"/>
      <c r="D28" s="337"/>
      <c r="E28" s="338"/>
      <c r="F28" s="335"/>
      <c r="G28" s="337"/>
      <c r="H28" s="332"/>
      <c r="I28" s="338"/>
      <c r="J28" s="335"/>
      <c r="K28" s="336"/>
      <c r="L28" s="334"/>
      <c r="M28" s="337"/>
      <c r="N28" s="332"/>
      <c r="O28" s="339"/>
      <c r="P28" s="339"/>
      <c r="Q28" s="329" t="e">
        <f>INDEX(Tabel3B[Prosumenten met terugdraaiende teller op LS],21)</f>
        <v>#DIV/0!</v>
      </c>
      <c r="R28" s="342" t="str">
        <f>INDEX(Tabel3B[Injectieklanten (∑)],21)</f>
        <v xml:space="preserve"> </v>
      </c>
      <c r="S28" s="334" t="str">
        <f>INDEX(Tabel3B[Injectieklanten op TRHS],21)</f>
        <v xml:space="preserve"> </v>
      </c>
      <c r="T28" s="334" t="str">
        <f>INDEX(Tabel3B[Injectieklanten  op &gt;26-36kV],21)</f>
        <v xml:space="preserve"> </v>
      </c>
      <c r="U28" s="334" t="str">
        <f>INDEX(Tabel3B[Injectieklanten op 26-1kV],21)</f>
        <v xml:space="preserve"> </v>
      </c>
      <c r="V28" s="334" t="str">
        <f>INDEX(Tabel3B[Injectieklanten op TRLS],21)</f>
        <v xml:space="preserve"> </v>
      </c>
      <c r="W28" s="335" t="str">
        <f>INDEX(Tabel3B[Injectieklanten op LS],21)</f>
        <v xml:space="preserve"> </v>
      </c>
    </row>
    <row r="31" spans="1:23" ht="15" thickBot="1"/>
    <row r="32" spans="1:23" ht="44" thickBot="1">
      <c r="A32" s="74" t="s">
        <v>82</v>
      </c>
      <c r="B32" s="349" t="s">
        <v>101</v>
      </c>
      <c r="C32" s="350" t="s">
        <v>308</v>
      </c>
      <c r="D32" s="156" t="s">
        <v>102</v>
      </c>
      <c r="E32" s="145" t="s">
        <v>132</v>
      </c>
      <c r="F32" s="350" t="s">
        <v>309</v>
      </c>
      <c r="G32" s="156" t="s">
        <v>133</v>
      </c>
      <c r="H32" s="144" t="s">
        <v>269</v>
      </c>
      <c r="I32" s="145" t="s">
        <v>270</v>
      </c>
      <c r="J32" s="350" t="s">
        <v>277</v>
      </c>
      <c r="K32" s="156" t="s">
        <v>103</v>
      </c>
      <c r="L32" s="350" t="s">
        <v>310</v>
      </c>
      <c r="M32" s="156" t="s">
        <v>119</v>
      </c>
      <c r="N32" s="144" t="s">
        <v>547</v>
      </c>
      <c r="O32" s="144" t="s">
        <v>120</v>
      </c>
      <c r="P32" s="144" t="s">
        <v>548</v>
      </c>
      <c r="Q32" s="145" t="s">
        <v>121</v>
      </c>
      <c r="R32" s="272" t="s">
        <v>278</v>
      </c>
      <c r="S32" s="146" t="s">
        <v>209</v>
      </c>
      <c r="T32" s="146" t="s">
        <v>324</v>
      </c>
      <c r="U32" s="146" t="s">
        <v>271</v>
      </c>
      <c r="V32" s="146" t="s">
        <v>104</v>
      </c>
      <c r="W32" s="147" t="s">
        <v>105</v>
      </c>
    </row>
    <row r="33" spans="1:23">
      <c r="A33" s="148" t="s">
        <v>83</v>
      </c>
      <c r="B33" s="1196" t="e">
        <f>SUM(Tabel4A[[#This Row],[Afnameklanten op TRHS (∑)]],Tabel4A[[#This Row],[Afnameklanten op MS (∑)]],Tabel4A[[#This Row],[Afnameklanten op TRLS (∑)]],Tabel4A[[#This Row],[Afnameklanten op LS (∑)]],Tabel4A[[#This Row],[Injectieklanten (∑)]])</f>
        <v>#DIV/0!</v>
      </c>
      <c r="C33" s="1197" t="e">
        <f>SUM(Tabel4A[[#This Row],[Afnameklanten op TRHS]:[Afnameklanten op &gt;26-36 kV met AV ≥ 5MVA]])</f>
        <v>#DIV/0!</v>
      </c>
      <c r="D33" s="1198" t="e">
        <f>$D$8*INDEX(Rekenvolumes[Afnameklanten op TRHS],8)+$D$9*INDEX(Rekenvolumes[Afnameklanten op TRHS],9)+$D$10*INDEX(Rekenvolumes[Afnameklanten op TRHS],10)</f>
        <v>#DIV/0!</v>
      </c>
      <c r="E33" s="1199" t="e">
        <f>$E$8*INDEX(Rekenvolumes[Afnameklanten op &gt;26-36 kV met AV ≥ 5MVA],8)+$E$9*INDEX(Rekenvolumes[Afnameklanten op &gt;26-36 kV met AV ≥ 5MVA],9)+$E$10*INDEX(Rekenvolumes[Afnameklanten op &gt;26-36 kV met AV ≥ 5MVA],10)</f>
        <v>#DIV/0!</v>
      </c>
      <c r="F33" s="1197" t="e">
        <f>SUM(Tabel4A[[#This Row],[Afnameklanten op &gt;26-36 kV met AV &lt; 5MVA]:[Doorvoer op 26-1kV]])</f>
        <v>#VALUE!</v>
      </c>
      <c r="G33" s="1198" t="e">
        <f>$G$8*INDEX(Rekenvolumes[Afnameklanten op &gt;26-36 kV met AV &lt; 5MVA],8)+$G$9*INDEX(Rekenvolumes[Afnameklanten op &gt;26-36 kV met AV &lt; 5MVA],9)+$G$10*INDEX(Rekenvolumes[Afnameklanten op &gt;26-36 kV met AV &lt; 5MVA],10)</f>
        <v>#VALUE!</v>
      </c>
      <c r="H33" s="1200" t="e">
        <f>$H$8*INDEX(Rekenvolumes[Afnameklanten op 26-1kV],8)+$H$9*INDEX(Rekenvolumes[Afnameklanten op 26-1kV],9)+$H$10*INDEX(Rekenvolumes[Afnameklanten op 26-1kV],10)</f>
        <v>#VALUE!</v>
      </c>
      <c r="I33" s="1199" t="e">
        <f>$I$8*INDEX(Rekenvolumes[Doorvoer op 26-1kV],8)+$I$9*INDEX(Rekenvolumes[Doorvoer op 26-1kV],9)+$I$10*INDEX(Rekenvolumes[Doorvoer op 26-1kV],10)</f>
        <v>#VALUE!</v>
      </c>
      <c r="J33" s="1197" t="e">
        <f>SUM(Tabel4A[[#This Row],[Afnameklanten op TRLS]])</f>
        <v>#VALUE!</v>
      </c>
      <c r="K33" s="1198" t="e">
        <f>$K$8*INDEX(Rekenvolumes[Afnameklanten op TRLS],8)+$K$9*INDEX(Rekenvolumes[Afnameklanten op TRLS],9)+$K$10*INDEX(Rekenvolumes[Afnameklanten op TRLS],10)</f>
        <v>#VALUE!</v>
      </c>
      <c r="L33" s="1197" t="e">
        <f>SUM(Tabel4A[[#This Row],[Afnameklanten op LS met piekmeting]:[Prosumenten met terugdraaiende teller op LS]])</f>
        <v>#DIV/0!</v>
      </c>
      <c r="M33" s="1198" t="e">
        <f>$M$11*INDEX(Rekenvolumes[Afnameklanten op LS met piekmeting],11)+$M$13*(INDEX(Rekenvolumes[Afnameklanten op LS met piekmeting],12)+INDEX(Rekenvolumes[Afnameklanten op LS met piekmeting],13)+INDEX(Rekenvolumes[Afnameklanten op LS met piekmeting],14))</f>
        <v>#DIV/0!</v>
      </c>
      <c r="N33" s="1200" t="e">
        <f>$N$11*INDEX(Rekenvolumes[Doorvoer op LS met piekmeting],11)+$N$13*(INDEX(Rekenvolumes[Doorvoer op LS met piekmeting],12)+INDEX(Rekenvolumes[Doorvoer op LS met piekmeting],13)+INDEX(Rekenvolumes[Doorvoer op LS met piekmeting],14))</f>
        <v>#DIV/0!</v>
      </c>
      <c r="O33" s="1200" t="e">
        <f>$O$12*INDEX(Rekenvolumes[Afnameklanten op LS met klassieke meter],1)+$O$13*(INDEX(Rekenvolumes[Afnameklanten op LS met klassieke meter],12)+INDEX(Rekenvolumes[Afnameklanten op LS met klassieke meter],13)+INDEX(Rekenvolumes[Afnameklanten op LS met klassieke meter],14))</f>
        <v>#DIV/0!</v>
      </c>
      <c r="P33" s="1200" t="e">
        <f>$P$12*INDEX(Rekenvolumes[Doorvoer op LS zonder piekmeting],1)+$P$13*(INDEX(Rekenvolumes[Doorvoer op LS zonder piekmeting],12)+INDEX(Rekenvolumes[Doorvoer op LS zonder piekmeting],13)+INDEX(Rekenvolumes[Doorvoer op LS zonder piekmeting],14))</f>
        <v>#DIV/0!</v>
      </c>
      <c r="Q33" s="1233" t="e">
        <f>$Q$28*INDEX(Rekenvolumes[Prosumenten met terugdraaiende teller op LS],18)</f>
        <v>#DIV/0!</v>
      </c>
      <c r="R33" s="1201" t="e">
        <f>SUM(Tabel4A[[#This Row],[Injectieklanten op TRHS]:[Injectieklanten op LS]])</f>
        <v>#VALUE!</v>
      </c>
      <c r="S33" s="1197" t="e">
        <f>$S$14*INDEX(Rekenvolumes[Injectieklanten op TRHS],15)</f>
        <v>#VALUE!</v>
      </c>
      <c r="T33" s="1197" t="e">
        <f>$R$14*INDEX(Rekenvolumes[Injectieklanten op &gt;26-36kV],15)</f>
        <v>#VALUE!</v>
      </c>
      <c r="U33" s="1197" t="e">
        <f>$U$14*INDEX(Rekenvolumes[Injectieklanten op 26-1kV],15)</f>
        <v>#VALUE!</v>
      </c>
      <c r="V33" s="1197" t="e">
        <f>$V$14*INDEX(Rekenvolumes[Injectieklanten op TRLS],15)</f>
        <v>#VALUE!</v>
      </c>
      <c r="W33" s="1202" t="e">
        <f>$W$14*INDEX(Rekenvolumes[Injectieklanten op LS],15)</f>
        <v>#VALUE!</v>
      </c>
    </row>
    <row r="34" spans="1:23">
      <c r="A34" s="456" t="s">
        <v>357</v>
      </c>
      <c r="B34" s="1203" t="e">
        <f>SUM(Tabel4A[[#This Row],[Afnameklanten op TRHS (∑)]],Tabel4A[[#This Row],[Afnameklanten op MS (∑)]],Tabel4A[[#This Row],[Afnameklanten op TRLS (∑)]],Tabel4A[[#This Row],[Afnameklanten op LS (∑)]],Tabel4A[[#This Row],[Injectieklanten (∑)]])</f>
        <v>#DIV/0!</v>
      </c>
      <c r="C34" s="1197" t="e">
        <f>SUM(Tabel4A[[#This Row],[Afnameklanten op TRHS]:[Afnameklanten op &gt;26-36 kV met AV ≥ 5MVA]])-MAXIMUM!$E$9</f>
        <v>#DIV/0!</v>
      </c>
      <c r="D34" s="1198"/>
      <c r="E34" s="1199"/>
      <c r="F34" s="1197" t="e">
        <f>SUM(Tabel4A[[#This Row],[Afnameklanten op &gt;26-36 kV met AV &lt; 5MVA]:[Doorvoer op 26-1kV]])-MAXIMUM!$E$11</f>
        <v>#VALUE!</v>
      </c>
      <c r="G34" s="1198"/>
      <c r="H34" s="1200"/>
      <c r="I34" s="1199"/>
      <c r="J34" s="1197" t="e">
        <f>SUM(Tabel4A[[#This Row],[Afnameklanten op TRLS]])-MAXIMUM!$E$14</f>
        <v>#VALUE!</v>
      </c>
      <c r="K34" s="1198"/>
      <c r="L34" s="1197" t="e">
        <f>SUM(Tabel4A[[#This Row],[Afnameklanten op LS met piekmeting]:[Prosumenten met terugdraaiende teller op LS]])-MAXIMUM!$E$15</f>
        <v>#DIV/0!</v>
      </c>
      <c r="M34" s="1198"/>
      <c r="N34" s="1200"/>
      <c r="O34" s="1200"/>
      <c r="P34" s="1200"/>
      <c r="Q34" s="1234"/>
      <c r="R34" s="1201" t="e">
        <f>SUM(Tabel4A[[#This Row],[Injectieklanten op TRHS]:[Injectieklanten op LS]])-MAXIMUM!$E$21</f>
        <v>#VALUE!</v>
      </c>
      <c r="S34" s="1197"/>
      <c r="T34" s="1197"/>
      <c r="U34" s="1197"/>
      <c r="V34" s="1197"/>
      <c r="W34" s="1202"/>
    </row>
    <row r="35" spans="1:23">
      <c r="A35" s="132" t="s">
        <v>13</v>
      </c>
      <c r="B35" s="1204" t="e">
        <f>SUM(Tabel4A[[#This Row],[Afnameklanten op TRHS (∑)]],Tabel4A[[#This Row],[Afnameklanten op MS (∑)]],Tabel4A[[#This Row],[Afnameklanten op TRLS (∑)]],Tabel4A[[#This Row],[Afnameklanten op LS (∑)]],Tabel4A[[#This Row],[Injectieklanten (∑)]])</f>
        <v>#VALUE!</v>
      </c>
      <c r="C35" s="1197" t="e">
        <f>SUM(Tabel4A[[#This Row],[Afnameklanten op TRHS]:[Afnameklanten op &gt;26-36 kV met AV ≥ 5MVA]])</f>
        <v>#VALUE!</v>
      </c>
      <c r="D35" s="1198" t="e">
        <f>$D$15*(INDEX(Rekenvolumes[Afnameklanten op TRHS],16)+INDEX(Rekenvolumes[Afnameklanten op TRHS],17))</f>
        <v>#VALUE!</v>
      </c>
      <c r="E35" s="1199" t="e">
        <f>$E$15*(INDEX(Rekenvolumes[Afnameklanten op &gt;26-36 kV met AV ≥ 5MVA],16)+INDEX(Rekenvolumes[Afnameklanten op &gt;26-36 kV met AV ≥ 5MVA],17))</f>
        <v>#VALUE!</v>
      </c>
      <c r="F35" s="1197" t="e">
        <f>SUM(Tabel4A[[#This Row],[Afnameklanten op &gt;26-36 kV met AV &lt; 5MVA]:[Doorvoer op 26-1kV]])</f>
        <v>#VALUE!</v>
      </c>
      <c r="G35" s="1198" t="e">
        <f>$G$15*(INDEX(Rekenvolumes[Afnameklanten op &gt;26-36 kV met AV &lt; 5MVA],16)+INDEX(Rekenvolumes[Afnameklanten op &gt;26-36 kV met AV &lt; 5MVA],17))</f>
        <v>#VALUE!</v>
      </c>
      <c r="H35" s="1200" t="e">
        <f>$H$15*(INDEX(Rekenvolumes[Afnameklanten op 26-1kV],16)+INDEX(Rekenvolumes[Afnameklanten op 26-1kV],17))</f>
        <v>#VALUE!</v>
      </c>
      <c r="I35" s="1199" t="e">
        <f>$I$15*(INDEX(Rekenvolumes[Doorvoer op 26-1kV],16)+INDEX(Rekenvolumes[Doorvoer op 26-1kV],17))</f>
        <v>#VALUE!</v>
      </c>
      <c r="J35" s="1197" t="e">
        <f>SUM(Tabel4A[[#This Row],[Afnameklanten op TRLS]])</f>
        <v>#VALUE!</v>
      </c>
      <c r="K35" s="1198" t="e">
        <f>$K$15*(INDEX(Rekenvolumes[Afnameklanten op TRLS],16)+INDEX(Rekenvolumes[Afnameklanten op TRLS],17))</f>
        <v>#VALUE!</v>
      </c>
      <c r="L35" s="1205"/>
      <c r="M35" s="1206"/>
      <c r="N35" s="1207"/>
      <c r="O35" s="1207"/>
      <c r="P35" s="1207"/>
      <c r="Q35" s="1234"/>
      <c r="R35" s="1205"/>
      <c r="S35" s="1205"/>
      <c r="T35" s="1205"/>
      <c r="U35" s="1205"/>
      <c r="V35" s="1205"/>
      <c r="W35" s="1208"/>
    </row>
    <row r="36" spans="1:23">
      <c r="A36" s="132" t="s">
        <v>84</v>
      </c>
      <c r="B36" s="1203" t="e">
        <f>SUM(Tabel4A[[#This Row],[Afnameklanten op TRHS (∑)]],Tabel4A[[#This Row],[Afnameklanten op MS (∑)]],Tabel4A[[#This Row],[Afnameklanten op TRLS (∑)]],Tabel4A[[#This Row],[Afnameklanten op LS (∑)]],Tabel4A[[#This Row],[Injectieklanten (∑)]])</f>
        <v>#DIV/0!</v>
      </c>
      <c r="C36" s="1197" t="e">
        <f>SUM(Tabel4A[[#This Row],[Afnameklanten op TRHS]:[Afnameklanten op &gt;26-36 kV met AV ≥ 5MVA]])</f>
        <v>#DIV/0!</v>
      </c>
      <c r="D36" s="1198" t="e">
        <f>$D$16*INDEX(Rekenvolumes[Afnameklanten op TRHS],2)+$D$17*INDEX(Rekenvolumes[Afnameklanten op TRHS],3)+$D$18*INDEX(Rekenvolumes[Afnameklanten op TRHS],4)+$D$19*INDEX(Rekenvolumes[Afnameklanten op TRHS],5)+$D$20*INDEX(Rekenvolumes[Afnameklanten op TRHS],6)+$D$21*INDEX(Rekenvolumes[Afnameklanten op TRHS],7)</f>
        <v>#DIV/0!</v>
      </c>
      <c r="E36" s="1199" t="e">
        <f>$E$16*INDEX(Rekenvolumes[Afnameklanten op &gt;26-36 kV met AV ≥ 5MVA],2)+$E$17*INDEX(Rekenvolumes[Afnameklanten op &gt;26-36 kV met AV ≥ 5MVA],3)+$E$18*INDEX(Rekenvolumes[Afnameklanten op &gt;26-36 kV met AV ≥ 5MVA],4)+$E$19*INDEX(Rekenvolumes[Afnameklanten op &gt;26-36 kV met AV ≥ 5MVA],5)+$E$20*INDEX(Rekenvolumes[Afnameklanten op &gt;26-36 kV met AV ≥ 5MVA],6)+$E$21*INDEX(Rekenvolumes[Afnameklanten op &gt;26-36 kV met AV ≥ 5MVA],7)</f>
        <v>#DIV/0!</v>
      </c>
      <c r="F36" s="1197" t="e">
        <f>SUM(Tabel4A[[#This Row],[Afnameklanten op &gt;26-36 kV met AV &lt; 5MVA]:[Doorvoer op 26-1kV]])</f>
        <v>#DIV/0!</v>
      </c>
      <c r="G36" s="1198" t="e">
        <f>$G$16*INDEX(Rekenvolumes[Afnameklanten op &gt;26-36 kV met AV &lt; 5MVA],2)+$G$17*INDEX(Rekenvolumes[Afnameklanten op &gt;26-36 kV met AV &lt; 5MVA],3)+$G$18*INDEX(Rekenvolumes[Afnameklanten op &gt;26-36 kV met AV &lt; 5MVA],4)+$G$19*INDEX(Rekenvolumes[Afnameklanten op &gt;26-36 kV met AV &lt; 5MVA],5)+$G$20*INDEX(Rekenvolumes[Afnameklanten op &gt;26-36 kV met AV &lt; 5MVA],6)+$G$21*INDEX(Rekenvolumes[Afnameklanten op &gt;26-36 kV met AV &lt; 5MVA],7)</f>
        <v>#DIV/0!</v>
      </c>
      <c r="H36" s="1200" t="e">
        <f>$H$16*INDEX(Rekenvolumes[Afnameklanten op 26-1kV],2)+$H$17*INDEX(Rekenvolumes[Afnameklanten op 26-1kV],3)+$H$18*INDEX(Rekenvolumes[Afnameklanten op 26-1kV],4)+$H$19*INDEX(Rekenvolumes[Afnameklanten op 26-1kV],5)+$H$20*INDEX(Rekenvolumes[Afnameklanten op 26-1kV],6)+$H$21*INDEX(Rekenvolumes[Afnameklanten op 26-1kV],7)</f>
        <v>#DIV/0!</v>
      </c>
      <c r="I36" s="1199" t="e">
        <f>$I$16*INDEX(Rekenvolumes[Doorvoer op 26-1kV],2)+$I$17*INDEX(Rekenvolumes[Doorvoer op 26-1kV],3)+$I$18*INDEX(Rekenvolumes[Doorvoer op 26-1kV],4)+$I$19*INDEX(Rekenvolumes[Doorvoer op 26-1kV],5)+$I$20*INDEX(Rekenvolumes[Doorvoer op 26-1kV],6)+$I$21*INDEX(Rekenvolumes[Doorvoer op 26-1kV],7)</f>
        <v>#DIV/0!</v>
      </c>
      <c r="J36" s="1197" t="e">
        <f>SUM(Tabel4A[[#This Row],[Afnameklanten op TRLS]])</f>
        <v>#DIV/0!</v>
      </c>
      <c r="K36" s="1198" t="e">
        <f>$K$16*INDEX(Rekenvolumes[Afnameklanten op TRLS],2)+$K$17*INDEX(Rekenvolumes[Afnameklanten op TRLS],3)+$K$18*INDEX(Rekenvolumes[Afnameklanten op TRLS],4)+$K$19*INDEX(Rekenvolumes[Afnameklanten op TRLS],5)+$K$20*INDEX(Rekenvolumes[Afnameklanten op TRLS],6)+$K$21*INDEX(Rekenvolumes[Afnameklanten op TRLS],7)</f>
        <v>#DIV/0!</v>
      </c>
      <c r="L36" s="1197" t="e">
        <f>SUM(Tabel4A[[#This Row],[Afnameklanten op LS met piekmeting]:[Prosumenten met terugdraaiende teller op LS]])</f>
        <v>#DIV/0!</v>
      </c>
      <c r="M36" s="1198" t="e">
        <f>$M$16*INDEX(Rekenvolumes[Afnameklanten op LS met piekmeting],2)+$M$17*INDEX(Rekenvolumes[Afnameklanten op LS met piekmeting],3)+$M$18*INDEX(Rekenvolumes[Afnameklanten op LS met piekmeting],4)+$M$19*INDEX(Rekenvolumes[Afnameklanten op LS met piekmeting],5)+$M$20*INDEX(Rekenvolumes[Afnameklanten op LS met piekmeting],6)+$M$21*INDEX(Rekenvolumes[Afnameklanten op LS met piekmeting],7)</f>
        <v>#DIV/0!</v>
      </c>
      <c r="N36" s="1200" t="e">
        <f>$N$16*INDEX(Rekenvolumes[Doorvoer op LS met piekmeting],2)+$N$17*INDEX(Rekenvolumes[Doorvoer op LS met piekmeting],3)+$N$18*INDEX(Rekenvolumes[Doorvoer op LS met piekmeting],4)+$N$19*INDEX(Rekenvolumes[Doorvoer op LS met piekmeting],5)+$N$20*INDEX(Rekenvolumes[Doorvoer op LS met piekmeting],6)+$N$21*INDEX(Rekenvolumes[Doorvoer op LS met piekmeting],7)</f>
        <v>#DIV/0!</v>
      </c>
      <c r="O36" s="1200" t="e">
        <f>$O$16*INDEX(Rekenvolumes[Afnameklanten op LS met klassieke meter],2)+$O$17*INDEX(Rekenvolumes[Afnameklanten op LS met klassieke meter],3)+$O$18*INDEX(Rekenvolumes[Afnameklanten op LS met klassieke meter],4)+$O$19*INDEX(Rekenvolumes[Afnameklanten op LS met klassieke meter],5)+$O$20*INDEX(Rekenvolumes[Afnameklanten op LS met klassieke meter],6)+$O$21*INDEX(Rekenvolumes[Afnameklanten op LS met klassieke meter],7)</f>
        <v>#DIV/0!</v>
      </c>
      <c r="P36" s="1200" t="e">
        <f>$P$16*INDEX(Rekenvolumes[Doorvoer op LS zonder piekmeting],2)+$P$17*INDEX(Rekenvolumes[Doorvoer op LS zonder piekmeting],3)+$P$18*INDEX(Rekenvolumes[Doorvoer op LS zonder piekmeting],4)+$P$19*INDEX(Rekenvolumes[Doorvoer op LS zonder piekmeting],5)+$P$20*INDEX(Rekenvolumes[Doorvoer op LS zonder piekmeting],6)+$P$21*INDEX(Rekenvolumes[Doorvoer op LS zonder piekmeting],7)</f>
        <v>#DIV/0!</v>
      </c>
      <c r="Q36" s="1234"/>
      <c r="R36" s="1201" t="e">
        <f>SUM(Tabel4A[[#This Row],[Injectieklanten op TRHS]:[Injectieklanten op LS]])</f>
        <v>#DIV/0!</v>
      </c>
      <c r="S36" s="1197" t="e">
        <f>$S$21*INDEX(Rekenvolumes[Injectieklanten op TRHS],7)</f>
        <v>#DIV/0!</v>
      </c>
      <c r="T36" s="1197" t="e">
        <f>$T$21*INDEX(Rekenvolumes[Injectieklanten op &gt;26-36kV],7)</f>
        <v>#DIV/0!</v>
      </c>
      <c r="U36" s="1197" t="e">
        <f>$U$21*INDEX(Rekenvolumes[Injectieklanten op 26-1kV],7)</f>
        <v>#DIV/0!</v>
      </c>
      <c r="V36" s="1197" t="e">
        <f>$V$21*INDEX(Rekenvolumes[Injectieklanten op TRLS],7)</f>
        <v>#DIV/0!</v>
      </c>
      <c r="W36" s="1202" t="e">
        <f>$W$21*INDEX(Rekenvolumes[Injectieklanten op LS],7)</f>
        <v>#DIV/0!</v>
      </c>
    </row>
    <row r="37" spans="1:23">
      <c r="A37" s="132" t="s">
        <v>85</v>
      </c>
      <c r="B37" s="1204" t="e">
        <f>SUM(Tabel4A[[#This Row],[Afnameklanten op TRHS (∑)]],Tabel4A[[#This Row],[Afnameklanten op MS (∑)]],Tabel4A[[#This Row],[Afnameklanten op TRLS (∑)]],Tabel4A[[#This Row],[Afnameklanten op LS (∑)]],Tabel4A[[#This Row],[Injectieklanten (∑)]])</f>
        <v>#VALUE!</v>
      </c>
      <c r="C37" s="1197" t="e">
        <f>SUM(Tabel4A[[#This Row],[Afnameklanten op TRHS]:[Afnameklanten op &gt;26-36 kV met AV ≥ 5MVA]])</f>
        <v>#VALUE!</v>
      </c>
      <c r="D37" s="1198" t="e">
        <f>$D$22*(INDEX(Rekenvolumes[Afnameklanten op TRHS],12)+INDEX(Rekenvolumes[Afnameklanten op TRHS],13))+$D$23*INDEX(Rekenvolumes[Afnameklanten op TRHS],14)</f>
        <v>#VALUE!</v>
      </c>
      <c r="E37" s="1199" t="e">
        <f>$E$22*(INDEX(Rekenvolumes[Afnameklanten op &gt;26-36 kV met AV ≥ 5MVA],12)+INDEX(Rekenvolumes[Afnameklanten op &gt;26-36 kV met AV ≥ 5MVA],13))+$E$23*INDEX(Rekenvolumes[Afnameklanten op &gt;26-36 kV met AV ≥ 5MVA],14)</f>
        <v>#VALUE!</v>
      </c>
      <c r="F37" s="1197" t="e">
        <f>SUM(Tabel4A[[#This Row],[Afnameklanten op &gt;26-36 kV met AV &lt; 5MVA]:[Doorvoer op 26-1kV]])</f>
        <v>#VALUE!</v>
      </c>
      <c r="G37" s="1198" t="e">
        <f>$G$22*(INDEX(Rekenvolumes[Afnameklanten op &gt;26-36 kV met AV &lt; 5MVA],12)+INDEX(Rekenvolumes[Afnameklanten op &gt;26-36 kV met AV &lt; 5MVA],13))+$G$23*INDEX(Rekenvolumes[Afnameklanten op &gt;26-36 kV met AV &lt; 5MVA],14)</f>
        <v>#VALUE!</v>
      </c>
      <c r="H37" s="1200" t="e">
        <f>$H$22*(INDEX(Rekenvolumes[Afnameklanten op 26-1kV],12)+INDEX(Rekenvolumes[Afnameklanten op 26-1kV],13))+$H$23*INDEX(Rekenvolumes[Afnameklanten op 26-1kV],14)</f>
        <v>#VALUE!</v>
      </c>
      <c r="I37" s="1199" t="e">
        <f>$I$22*(INDEX(Rekenvolumes[Doorvoer op 26-1kV],12)+INDEX(Rekenvolumes[Doorvoer op 26-1kV],13))+$I$23*INDEX(Rekenvolumes[Doorvoer op 26-1kV],14)</f>
        <v>#VALUE!</v>
      </c>
      <c r="J37" s="1197" t="e">
        <f>SUM(Tabel4A[[#This Row],[Afnameklanten op TRLS]])</f>
        <v>#VALUE!</v>
      </c>
      <c r="K37" s="1198" t="e">
        <f>$K$22*(INDEX(Rekenvolumes[Afnameklanten op TRLS],12)+INDEX(Rekenvolumes[Afnameklanten op TRLS],13))+$K$23*INDEX(Rekenvolumes[Afnameklanten op TRLS],14)</f>
        <v>#VALUE!</v>
      </c>
      <c r="L37" s="1197" t="e">
        <f>SUM(Tabel4A[[#This Row],[Afnameklanten op LS met piekmeting]:[Prosumenten met terugdraaiende teller op LS]])</f>
        <v>#VALUE!</v>
      </c>
      <c r="M37" s="1198" t="e">
        <f>$M$22*(INDEX(Rekenvolumes[Afnameklanten op LS met piekmeting],12)+INDEX(Rekenvolumes[Afnameklanten op LS met piekmeting],13))+$M$23*INDEX(Rekenvolumes[Afnameklanten op LS met piekmeting],14)</f>
        <v>#VALUE!</v>
      </c>
      <c r="N37" s="1200" t="e">
        <f>$N$22*(INDEX(Rekenvolumes[Doorvoer op LS met piekmeting],12)+INDEX(Rekenvolumes[Doorvoer op LS met piekmeting],13))+$N$23*INDEX(Rekenvolumes[Doorvoer op LS met piekmeting],14)</f>
        <v>#VALUE!</v>
      </c>
      <c r="O37" s="1200" t="e">
        <f>$O$22*(INDEX(Rekenvolumes[Afnameklanten op LS met klassieke meter],12)+INDEX(Rekenvolumes[Afnameklanten op LS met klassieke meter],13))+$O$23*INDEX(Rekenvolumes[Afnameklanten op LS met klassieke meter],14)</f>
        <v>#VALUE!</v>
      </c>
      <c r="P37" s="1200" t="e">
        <f>$P$22*(INDEX(Rekenvolumes[Doorvoer op LS zonder piekmeting],12)+INDEX(Rekenvolumes[Doorvoer op LS zonder piekmeting],13))+$P$23*INDEX(Rekenvolumes[Doorvoer op LS zonder piekmeting],14)</f>
        <v>#VALUE!</v>
      </c>
      <c r="Q37" s="1234"/>
      <c r="R37" s="1205"/>
      <c r="S37" s="1205"/>
      <c r="T37" s="1205"/>
      <c r="U37" s="1205"/>
      <c r="V37" s="1205"/>
      <c r="W37" s="1208"/>
    </row>
    <row r="38" spans="1:23">
      <c r="A38" s="132" t="s">
        <v>9</v>
      </c>
      <c r="B38" s="1204" t="e">
        <f>SUM(Tabel4A[[#This Row],[Afnameklanten op TRHS (∑)]],Tabel4A[[#This Row],[Afnameklanten op MS (∑)]],Tabel4A[[#This Row],[Afnameklanten op TRLS (∑)]],Tabel4A[[#This Row],[Afnameklanten op LS (∑)]],Tabel4A[[#This Row],[Injectieklanten (∑)]])</f>
        <v>#VALUE!</v>
      </c>
      <c r="C38" s="1197" t="e">
        <f>SUM(Tabel4A[[#This Row],[Afnameklanten op TRHS]:[Afnameklanten op &gt;26-36 kV met AV ≥ 5MVA]])</f>
        <v>#VALUE!</v>
      </c>
      <c r="D38" s="1198" t="e">
        <f>$D$24*(INDEX(Rekenvolumes[Afnameklanten op TRHS],12)+INDEX(Rekenvolumes[Afnameklanten op TRHS],13)+INDEX(Rekenvolumes[Afnameklanten op TRHS],14))</f>
        <v>#VALUE!</v>
      </c>
      <c r="E38" s="1199" t="e">
        <f>$E$24*(INDEX(Rekenvolumes[Afnameklanten op &gt;26-36 kV met AV ≥ 5MVA],12)+INDEX(Rekenvolumes[Afnameklanten op &gt;26-36 kV met AV ≥ 5MVA],13)+INDEX(Rekenvolumes[Afnameklanten op &gt;26-36 kV met AV ≥ 5MVA],14))</f>
        <v>#VALUE!</v>
      </c>
      <c r="F38" s="1197" t="e">
        <f>SUM(Tabel4A[[#This Row],[Afnameklanten op &gt;26-36 kV met AV &lt; 5MVA]:[Doorvoer op 26-1kV]])</f>
        <v>#VALUE!</v>
      </c>
      <c r="G38" s="1198" t="e">
        <f>$G$24*(INDEX(Rekenvolumes[Afnameklanten op &gt;26-36 kV met AV &lt; 5MVA],12)+INDEX(Rekenvolumes[Afnameklanten op &gt;26-36 kV met AV &lt; 5MVA],13)+INDEX(Rekenvolumes[Afnameklanten op &gt;26-36 kV met AV &lt; 5MVA],14))</f>
        <v>#VALUE!</v>
      </c>
      <c r="H38" s="1200" t="e">
        <f>$H$24*(INDEX(Rekenvolumes[Afnameklanten op 26-1kV],12)+INDEX(Rekenvolumes[Afnameklanten op 26-1kV],13)+INDEX(Rekenvolumes[Afnameklanten op 26-1kV],14))</f>
        <v>#VALUE!</v>
      </c>
      <c r="I38" s="1199" t="e">
        <f>$I$24*(INDEX(Rekenvolumes[Doorvoer op 26-1kV],12)+INDEX(Rekenvolumes[Doorvoer op 26-1kV],13)+INDEX(Rekenvolumes[Doorvoer op 26-1kV],14))</f>
        <v>#VALUE!</v>
      </c>
      <c r="J38" s="1197" t="e">
        <f>SUM(Tabel4A[[#This Row],[Afnameklanten op TRLS]])</f>
        <v>#VALUE!</v>
      </c>
      <c r="K38" s="1198" t="e">
        <f>$K$24*(INDEX(Rekenvolumes[Afnameklanten op TRLS],12)+INDEX(Rekenvolumes[Afnameklanten op TRLS],13)+INDEX(Rekenvolumes[Afnameklanten op TRLS],14))</f>
        <v>#VALUE!</v>
      </c>
      <c r="L38" s="1197" t="e">
        <f>SUM(Tabel4A[[#This Row],[Afnameklanten op LS met piekmeting]:[Prosumenten met terugdraaiende teller op LS]])</f>
        <v>#VALUE!</v>
      </c>
      <c r="M38" s="1198" t="e">
        <f>$M$24*(INDEX(Rekenvolumes[Afnameklanten op LS met piekmeting],12)+INDEX(Rekenvolumes[Afnameklanten op LS met piekmeting],13)+INDEX(Rekenvolumes[Afnameklanten op LS met piekmeting],14))</f>
        <v>#VALUE!</v>
      </c>
      <c r="N38" s="1200" t="e">
        <f>$N$24*(INDEX(Rekenvolumes[Doorvoer op LS met piekmeting],12)+INDEX(Rekenvolumes[Doorvoer op LS met piekmeting],13)+INDEX(Rekenvolumes[Doorvoer op LS met piekmeting],14))</f>
        <v>#VALUE!</v>
      </c>
      <c r="O38" s="1200" t="e">
        <f>$O$24*(INDEX(Rekenvolumes[Afnameklanten op LS met klassieke meter],12)+INDEX(Rekenvolumes[Afnameklanten op LS met klassieke meter],13)+INDEX(Rekenvolumes[Afnameklanten op LS met klassieke meter],14))</f>
        <v>#VALUE!</v>
      </c>
      <c r="P38" s="1200" t="e">
        <f>$P24*(INDEX(Rekenvolumes[Doorvoer op LS zonder piekmeting],12)+INDEX(Rekenvolumes[Doorvoer op LS zonder piekmeting],13)+INDEX(Rekenvolumes[Doorvoer op LS zonder piekmeting],14))</f>
        <v>#VALUE!</v>
      </c>
      <c r="Q38" s="1234"/>
      <c r="R38" s="1205"/>
      <c r="S38" s="1205"/>
      <c r="T38" s="1205"/>
      <c r="U38" s="1205"/>
      <c r="V38" s="1205"/>
      <c r="W38" s="1208"/>
    </row>
    <row r="39" spans="1:23">
      <c r="A39" s="133" t="s">
        <v>86</v>
      </c>
      <c r="B39" s="1209"/>
      <c r="C39" s="1210"/>
      <c r="D39" s="1211"/>
      <c r="E39" s="1212"/>
      <c r="F39" s="1210"/>
      <c r="G39" s="1211"/>
      <c r="H39" s="1213"/>
      <c r="I39" s="1212"/>
      <c r="J39" s="1210"/>
      <c r="K39" s="1211"/>
      <c r="L39" s="1210"/>
      <c r="M39" s="1211"/>
      <c r="N39" s="1213"/>
      <c r="O39" s="1213"/>
      <c r="P39" s="1213"/>
      <c r="Q39" s="1234"/>
      <c r="R39" s="1205"/>
      <c r="S39" s="1205"/>
      <c r="T39" s="1205"/>
      <c r="U39" s="1205"/>
      <c r="V39" s="1205"/>
      <c r="W39" s="1208"/>
    </row>
    <row r="40" spans="1:23">
      <c r="A40" s="578" t="s">
        <v>560</v>
      </c>
      <c r="B40" s="1209" t="e">
        <f>SUM(Tabel4A[[#This Row],[Afnameklanten op TRHS (∑)]],Tabel4A[[#This Row],[Afnameklanten op MS (∑)]],Tabel4A[[#This Row],[Afnameklanten op TRLS (∑)]],Tabel4A[[#This Row],[Afnameklanten op LS (∑)]],Tabel4A[[#This Row],[Injectieklanten (∑)]])</f>
        <v>#DIV/0!</v>
      </c>
      <c r="C40" s="1210" t="e">
        <f>SUM(Tabel4A[[#This Row],[Afnameklanten op TRHS]:[Afnameklanten op &gt;26-36 kV met AV ≥ 5MVA]])</f>
        <v>#DIV/0!</v>
      </c>
      <c r="D40" s="1211" t="e">
        <f>$D$26*(INDEX(Rekenvolumes[Afnameklanten op TRHS],12)+INDEX(Rekenvolumes[Afnameklanten op TRHS],13)+INDEX(Rekenvolumes[Afnameklanten op TRHS],14))</f>
        <v>#DIV/0!</v>
      </c>
      <c r="E40" s="1212" t="e">
        <f>$E$26*(INDEX(Rekenvolumes[Afnameklanten op &gt;26-36 kV met AV ≥ 5MVA],12)+INDEX(Rekenvolumes[Afnameklanten op &gt;26-36 kV met AV ≥ 5MVA],13)+INDEX(Rekenvolumes[Afnameklanten op &gt;26-36 kV met AV ≥ 5MVA],14))</f>
        <v>#DIV/0!</v>
      </c>
      <c r="F40" s="1210" t="e">
        <f>SUM(Tabel4A[[#This Row],[Afnameklanten op &gt;26-36 kV met AV &lt; 5MVA]:[Doorvoer op 26-1kV]])</f>
        <v>#DIV/0!</v>
      </c>
      <c r="G40" s="1211" t="e">
        <f>$G$26*(INDEX(Rekenvolumes[Afnameklanten op &gt;26-36 kV met AV &lt; 5MVA],12)+INDEX(Rekenvolumes[Afnameklanten op &gt;26-36 kV met AV &lt; 5MVA],13)+INDEX(Rekenvolumes[Afnameklanten op &gt;26-36 kV met AV &lt; 5MVA],14))</f>
        <v>#DIV/0!</v>
      </c>
      <c r="H40" s="1213" t="e">
        <f>$H$26*(INDEX(Rekenvolumes[Afnameklanten op 26-1kV],12)+INDEX(Rekenvolumes[Afnameklanten op 26-1kV],13)+INDEX(Rekenvolumes[Afnameklanten op 26-1kV],14))</f>
        <v>#DIV/0!</v>
      </c>
      <c r="I40" s="1212" t="e">
        <f>$I$26*(INDEX(Rekenvolumes[Doorvoer op 26-1kV],12)+INDEX(Rekenvolumes[Doorvoer op 26-1kV],13)+INDEX(Rekenvolumes[Doorvoer op 26-1kV],14))</f>
        <v>#DIV/0!</v>
      </c>
      <c r="J40" s="1210" t="e">
        <f>SUM(Tabel4A[[#This Row],[Afnameklanten op TRLS]])</f>
        <v>#DIV/0!</v>
      </c>
      <c r="K40" s="1211" t="e">
        <f>$K$26*(INDEX(Rekenvolumes[Afnameklanten op TRLS],12)+INDEX(Rekenvolumes[Afnameklanten op TRLS],13)+INDEX(Rekenvolumes[Afnameklanten op TRLS],14))</f>
        <v>#DIV/0!</v>
      </c>
      <c r="L40" s="1210" t="e">
        <f>SUM(Tabel4A[[#This Row],[Afnameklanten op LS met piekmeting]:[Prosumenten met terugdraaiende teller op LS]])</f>
        <v>#DIV/0!</v>
      </c>
      <c r="M40" s="1211" t="e">
        <f>$M$26*(INDEX(Rekenvolumes[Afnameklanten op LS met piekmeting],12)+INDEX(Rekenvolumes[Afnameklanten op LS met piekmeting],13)+INDEX(Rekenvolumes[Afnameklanten op LS met piekmeting],14))</f>
        <v>#DIV/0!</v>
      </c>
      <c r="N40" s="1213" t="e">
        <f>$N$26*(INDEX(Rekenvolumes[Doorvoer op LS met piekmeting],12)+INDEX(Rekenvolumes[Doorvoer op LS met piekmeting],13)+INDEX(Rekenvolumes[Doorvoer op LS met piekmeting],14))</f>
        <v>#DIV/0!</v>
      </c>
      <c r="O40" s="1213" t="e">
        <f>$O$26*(INDEX(Rekenvolumes[Afnameklanten op LS met klassieke meter],12)+INDEX(Rekenvolumes[Afnameklanten op LS met klassieke meter],13)+INDEX(Rekenvolumes[Afnameklanten op LS met klassieke meter],14))</f>
        <v>#DIV/0!</v>
      </c>
      <c r="P40" s="1213" t="e">
        <f>$P$26*(INDEX(Rekenvolumes[Doorvoer op LS zonder piekmeting],12)+INDEX(Rekenvolumes[Doorvoer op LS zonder piekmeting],13)+INDEX(Rekenvolumes[Doorvoer op LS zonder piekmeting],14))</f>
        <v>#DIV/0!</v>
      </c>
      <c r="Q40" s="1234"/>
      <c r="R40" s="1205"/>
      <c r="S40" s="1205"/>
      <c r="T40" s="1205"/>
      <c r="U40" s="1205"/>
      <c r="V40" s="1205"/>
      <c r="W40" s="1208"/>
    </row>
    <row r="41" spans="1:23" ht="15" thickBot="1">
      <c r="A41" s="133" t="s">
        <v>322</v>
      </c>
      <c r="B41" s="1209" t="e">
        <f>SUM(Tabel4A[[#This Row],[Afnameklanten op TRHS (∑)]],Tabel4A[[#This Row],[Afnameklanten op MS (∑)]],Tabel4A[[#This Row],[Afnameklanten op TRLS (∑)]],Tabel4A[[#This Row],[Afnameklanten op LS (∑)]],Tabel4A[[#This Row],[Injectieklanten (∑)]])</f>
        <v>#DIV/0!</v>
      </c>
      <c r="C41" s="1210" t="e">
        <f>SUM(Tabel4A[[#This Row],[Afnameklanten op TRHS]:[Afnameklanten op &gt;26-36 kV met AV ≥ 5MVA]])</f>
        <v>#DIV/0!</v>
      </c>
      <c r="D41" s="1211" t="e">
        <f>$D$27*(INDEX(Rekenvolumes[Afnameklanten op TRHS],12)+INDEX(Rekenvolumes[Afnameklanten op TRHS],13)+INDEX(Rekenvolumes[Afnameklanten op TRHS],14))</f>
        <v>#DIV/0!</v>
      </c>
      <c r="E41" s="1212" t="e">
        <f>$E$27*(INDEX(Rekenvolumes[Afnameklanten op &gt;26-36 kV met AV ≥ 5MVA],12)+INDEX(Rekenvolumes[Afnameklanten op &gt;26-36 kV met AV ≥ 5MVA],13)+INDEX(Rekenvolumes[Afnameklanten op &gt;26-36 kV met AV ≥ 5MVA],14))</f>
        <v>#DIV/0!</v>
      </c>
      <c r="F41" s="1210" t="e">
        <f>SUM(Tabel4A[[#This Row],[Afnameklanten op &gt;26-36 kV met AV &lt; 5MVA]:[Doorvoer op 26-1kV]])</f>
        <v>#DIV/0!</v>
      </c>
      <c r="G41" s="1211" t="e">
        <f>$G$27*(INDEX(Rekenvolumes[Afnameklanten op &gt;26-36 kV met AV &lt; 5MVA],12)+INDEX(Rekenvolumes[Afnameklanten op &gt;26-36 kV met AV &lt; 5MVA],13)+INDEX(Rekenvolumes[Afnameklanten op &gt;26-36 kV met AV &lt; 5MVA],14))</f>
        <v>#DIV/0!</v>
      </c>
      <c r="H41" s="1213" t="e">
        <f>$H$27*(INDEX(Rekenvolumes[Afnameklanten op 26-1kV],12)+INDEX(Rekenvolumes[Afnameklanten op 26-1kV],13)+INDEX(Rekenvolumes[Afnameklanten op 26-1kV],14))</f>
        <v>#DIV/0!</v>
      </c>
      <c r="I41" s="1212" t="e">
        <f>$I$27*(INDEX(Rekenvolumes[Doorvoer op 26-1kV],12)+INDEX(Rekenvolumes[Doorvoer op 26-1kV],13)+INDEX(Rekenvolumes[Doorvoer op 26-1kV],14))</f>
        <v>#DIV/0!</v>
      </c>
      <c r="J41" s="1210" t="e">
        <f>SUM(Tabel4A[[#This Row],[Afnameklanten op TRLS]])</f>
        <v>#DIV/0!</v>
      </c>
      <c r="K41" s="1211" t="e">
        <f>$K$27*(INDEX(Rekenvolumes[Afnameklanten op TRLS],12)+INDEX(Rekenvolumes[Afnameklanten op TRLS],13)+INDEX(Rekenvolumes[Afnameklanten op TRLS],14))</f>
        <v>#DIV/0!</v>
      </c>
      <c r="L41" s="1210" t="e">
        <f>SUM(Tabel4A[[#This Row],[Afnameklanten op LS met piekmeting]:[Prosumenten met terugdraaiende teller op LS]])</f>
        <v>#DIV/0!</v>
      </c>
      <c r="M41" s="1211" t="e">
        <f>$M$27*(INDEX(Rekenvolumes[Afnameklanten op LS met piekmeting],12)+INDEX(Rekenvolumes[Afnameklanten op LS met piekmeting],13)+INDEX(Rekenvolumes[Afnameklanten op LS met piekmeting],14))</f>
        <v>#DIV/0!</v>
      </c>
      <c r="N41" s="1213" t="e">
        <f>$N$27*(INDEX(Rekenvolumes[Doorvoer op LS met piekmeting],12)+INDEX(Rekenvolumes[Doorvoer op LS met piekmeting],13)+INDEX(Rekenvolumes[Doorvoer op LS met piekmeting],14))</f>
        <v>#DIV/0!</v>
      </c>
      <c r="O41" s="1213" t="e">
        <f>$O$27*(INDEX(Rekenvolumes[Afnameklanten op LS met klassieke meter],12)+INDEX(Rekenvolumes[Afnameklanten op LS met klassieke meter],13)+INDEX(Rekenvolumes[Afnameklanten op LS met klassieke meter],14))</f>
        <v>#DIV/0!</v>
      </c>
      <c r="P41" s="1213" t="e">
        <f>$P$27*(INDEX(Rekenvolumes[Doorvoer op LS zonder piekmeting],12)+INDEX(Rekenvolumes[Doorvoer op LS zonder piekmeting],13)+INDEX(Rekenvolumes[Doorvoer op LS zonder piekmeting],14))</f>
        <v>#DIV/0!</v>
      </c>
      <c r="Q41" s="1234"/>
      <c r="R41" s="1205"/>
      <c r="S41" s="1205"/>
      <c r="T41" s="1205"/>
      <c r="U41" s="1205"/>
      <c r="V41" s="1205"/>
      <c r="W41" s="1208"/>
    </row>
    <row r="42" spans="1:23" ht="15" thickBot="1">
      <c r="A42" s="348" t="s">
        <v>11</v>
      </c>
      <c r="B42" s="1214" t="e">
        <f>SUBTOTAL(109,Tabel4A[Totale budget])</f>
        <v>#DIV/0!</v>
      </c>
      <c r="C42" s="1215" t="e">
        <f>SUBTOTAL(109,Tabel4A[Afnameklanten op TRHS (∑)])</f>
        <v>#DIV/0!</v>
      </c>
      <c r="D42" s="1216" t="e">
        <f>SUBTOTAL(109,Tabel4A[Afnameklanten op TRHS])</f>
        <v>#DIV/0!</v>
      </c>
      <c r="E42" s="1217" t="e">
        <f>SUBTOTAL(109,Tabel4A[Afnameklanten op &gt;26-36 kV met AV ≥ 5MVA])</f>
        <v>#DIV/0!</v>
      </c>
      <c r="F42" s="1218" t="e">
        <f>SUBTOTAL(109,Tabel4A[Afnameklanten op MS (∑)])</f>
        <v>#VALUE!</v>
      </c>
      <c r="G42" s="1216" t="e">
        <f>SUBTOTAL(109,Tabel4A[Afnameklanten op &gt;26-36 kV met AV &lt; 5MVA])</f>
        <v>#VALUE!</v>
      </c>
      <c r="H42" s="1219" t="e">
        <f>SUBTOTAL(109,Tabel4A[Afnameklanten op 26-1kV])</f>
        <v>#VALUE!</v>
      </c>
      <c r="I42" s="1217" t="e">
        <f>SUBTOTAL(109,Tabel4A[Doorvoer op 26-1kV])</f>
        <v>#VALUE!</v>
      </c>
      <c r="J42" s="1218" t="e">
        <f>SUBTOTAL(109,Tabel4A[Afnameklanten op TRLS (∑)])</f>
        <v>#VALUE!</v>
      </c>
      <c r="K42" s="1216" t="e">
        <f>SUBTOTAL(109,Tabel4A[Afnameklanten op TRLS])</f>
        <v>#VALUE!</v>
      </c>
      <c r="L42" s="1220" t="e">
        <f>SUBTOTAL(109,Tabel4A[Afnameklanten op LS (∑)])</f>
        <v>#DIV/0!</v>
      </c>
      <c r="M42" s="1216" t="e">
        <f>SUBTOTAL(109,Tabel4A[Afnameklanten op LS met piekmeting])</f>
        <v>#DIV/0!</v>
      </c>
      <c r="N42" s="1219" t="e">
        <f>SUBTOTAL(109,Tabel4A[Doorvoer op LS met piekmeting])</f>
        <v>#DIV/0!</v>
      </c>
      <c r="O42" s="1220" t="e">
        <f>SUBTOTAL(109,Tabel4A[Afnameklanten op LS met klassieke meter])</f>
        <v>#DIV/0!</v>
      </c>
      <c r="P42" s="1220" t="e">
        <f>SUBTOTAL(109,Tabel4A[Doorvoer op LS zonder piekmeting])</f>
        <v>#DIV/0!</v>
      </c>
      <c r="Q42" s="1217" t="e">
        <f>SUBTOTAL(109,Tabel4A[Prosumenten met terugdraaiende teller op LS])</f>
        <v>#DIV/0!</v>
      </c>
      <c r="R42" s="1221" t="e">
        <f>SUBTOTAL(109,Tabel4A[Injectieklanten (∑)])</f>
        <v>#VALUE!</v>
      </c>
      <c r="S42" s="1214" t="e">
        <f>SUBTOTAL(109,Tabel4A[Injectieklanten op TRHS])</f>
        <v>#VALUE!</v>
      </c>
      <c r="T42" s="1214" t="e">
        <f>SUBTOTAL(109,Tabel4A[Injectieklanten  op &gt;26-36kV])</f>
        <v>#VALUE!</v>
      </c>
      <c r="U42" s="1214" t="e">
        <f>SUBTOTAL(109,Tabel4A[Injectieklanten op 26-1kV])</f>
        <v>#VALUE!</v>
      </c>
      <c r="V42" s="1214" t="e">
        <f>SUBTOTAL(109,Tabel4A[Injectieklanten op TRLS])</f>
        <v>#VALUE!</v>
      </c>
      <c r="W42" s="1222" t="e">
        <f>SUBTOTAL(109,Tabel4A[Injectieklanten op LS])</f>
        <v>#VALUE!</v>
      </c>
    </row>
  </sheetData>
  <sheetProtection algorithmName="SHA-512" hashValue="o0sUFfca4QaKLTIglgayIxkgR1IbnHF67muMMFbJ1R04VIFmu5Lc8zSqnkPIygFYxUQbILgk0dbMGk5Dr9G0Hg==" saltValue="wBxhn3D3+cDcyZAZglHYYQ==" spinCount="100000" sheet="1" objects="1" scenarios="1"/>
  <mergeCells count="2">
    <mergeCell ref="E4:F4"/>
    <mergeCell ref="A1:J1"/>
  </mergeCells>
  <pageMargins left="0.7" right="0.7" top="0.75" bottom="0.75" header="0.3" footer="0.3"/>
  <pageSetup paperSize="9"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D77-B143-4ABF-B05E-31A28EE4B215}">
  <sheetPr published="0">
    <tabColor rgb="FFD8E4BC"/>
  </sheetPr>
  <dimension ref="A1"/>
  <sheetViews>
    <sheetView workbookViewId="0"/>
  </sheetViews>
  <sheetFormatPr defaultRowHeight="14.5"/>
  <sheetData/>
  <sheetProtection algorithmName="SHA-512" hashValue="uTi2LO/GcGsgCjbT00K0K8Yv6xmJVcBc/5MMu4KH1xmVuYXSYKnxpmfeW9iU6zbQu2BsOhM34BNFfYDhl+E8oQ==" saltValue="pq5ZHpaK2tjy3tVppEvty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920E-3255-4C0C-A4EE-0A10E895BCD9}">
  <sheetPr>
    <pageSetUpPr fitToPage="1"/>
  </sheetPr>
  <dimension ref="A1:AF26"/>
  <sheetViews>
    <sheetView zoomScaleNormal="100" workbookViewId="0">
      <selection activeCell="D4" sqref="D4:E4"/>
    </sheetView>
  </sheetViews>
  <sheetFormatPr defaultColWidth="10.7265625" defaultRowHeight="15" customHeight="1"/>
  <cols>
    <col min="1" max="2" width="5.7265625" style="909" customWidth="1"/>
    <col min="3" max="3" width="50.7265625" style="909" customWidth="1"/>
    <col min="4" max="4" width="20.7265625" style="909" customWidth="1"/>
    <col min="5" max="5" width="10.7265625" style="909" customWidth="1"/>
    <col min="6" max="6" width="20.7265625" style="909" customWidth="1"/>
    <col min="7" max="7" width="10.7265625" style="909" customWidth="1"/>
    <col min="8" max="8" width="20.7265625" style="909" customWidth="1"/>
    <col min="9" max="9" width="10.7265625" style="909" customWidth="1"/>
    <col min="10" max="10" width="20.7265625" style="909" customWidth="1"/>
    <col min="11" max="11" width="10.7265625" style="909" customWidth="1"/>
    <col min="12" max="12" width="20.7265625" style="909" customWidth="1"/>
    <col min="13" max="256" width="10.7265625" style="909" customWidth="1"/>
    <col min="257" max="16384" width="10.7265625" style="909"/>
  </cols>
  <sheetData>
    <row r="1" spans="1:32" ht="30" customHeight="1" thickBot="1">
      <c r="A1" s="1425" t="s">
        <v>385</v>
      </c>
      <c r="B1" s="1426"/>
      <c r="C1" s="1426"/>
      <c r="D1" s="1426"/>
      <c r="E1" s="1426"/>
      <c r="F1" s="1426"/>
      <c r="G1" s="1426"/>
      <c r="H1" s="1426"/>
      <c r="I1" s="1426"/>
      <c r="J1" s="1426"/>
      <c r="K1" s="1426"/>
      <c r="L1" s="1494"/>
    </row>
    <row r="3" spans="1:32" ht="15" customHeight="1" thickBot="1"/>
    <row r="4" spans="1:32" s="3" customFormat="1" ht="20.25" customHeight="1" thickBot="1">
      <c r="B4" s="43"/>
      <c r="C4" s="42" t="s">
        <v>6</v>
      </c>
      <c r="D4" s="1434" t="str">
        <f>DNB</f>
        <v>Naam distributienetbeheerder</v>
      </c>
      <c r="E4" s="1436"/>
      <c r="F4" s="910"/>
      <c r="G4" s="42"/>
      <c r="H4" s="58"/>
      <c r="I4" s="44"/>
      <c r="J4" s="44"/>
      <c r="K4" s="44"/>
      <c r="L4" s="44"/>
      <c r="M4" s="44"/>
      <c r="N4" s="44"/>
      <c r="O4" s="44"/>
      <c r="P4" s="44"/>
      <c r="Q4" s="44"/>
      <c r="R4" s="44"/>
      <c r="S4" s="44"/>
      <c r="T4" s="44"/>
      <c r="U4" s="44"/>
      <c r="V4" s="44"/>
      <c r="W4" s="44"/>
      <c r="X4" s="44"/>
      <c r="Y4" s="44"/>
      <c r="Z4" s="44"/>
      <c r="AA4" s="44"/>
      <c r="AB4" s="44"/>
      <c r="AC4" s="44"/>
      <c r="AD4" s="44"/>
      <c r="AE4" s="44"/>
      <c r="AF4" s="45"/>
    </row>
    <row r="6" spans="1:32" ht="15" customHeight="1" thickBot="1"/>
    <row r="7" spans="1:32" ht="15" customHeight="1">
      <c r="A7" s="1567" t="s">
        <v>82</v>
      </c>
      <c r="B7" s="1568"/>
      <c r="C7" s="1568"/>
      <c r="D7" s="1560" t="s">
        <v>524</v>
      </c>
      <c r="E7" s="1561"/>
      <c r="F7" s="1561"/>
      <c r="G7" s="1562"/>
      <c r="H7" s="1560" t="s">
        <v>525</v>
      </c>
      <c r="I7" s="1561"/>
      <c r="J7" s="1561"/>
      <c r="K7" s="1562"/>
      <c r="L7" s="104" t="s">
        <v>24</v>
      </c>
    </row>
    <row r="8" spans="1:32" ht="15" customHeight="1">
      <c r="A8" s="1569"/>
      <c r="B8" s="1570"/>
      <c r="C8" s="1570"/>
      <c r="D8" s="1558" t="s">
        <v>166</v>
      </c>
      <c r="E8" s="1559"/>
      <c r="F8" s="1558" t="s">
        <v>167</v>
      </c>
      <c r="G8" s="1559"/>
      <c r="H8" s="1558" t="s">
        <v>166</v>
      </c>
      <c r="I8" s="1559"/>
      <c r="J8" s="1558" t="s">
        <v>167</v>
      </c>
      <c r="K8" s="1559"/>
      <c r="L8" s="567"/>
    </row>
    <row r="9" spans="1:32" ht="15" customHeight="1" thickBot="1">
      <c r="A9" s="1571"/>
      <c r="B9" s="1572"/>
      <c r="C9" s="1572"/>
      <c r="D9" s="105" t="s">
        <v>26</v>
      </c>
      <c r="E9" s="106" t="s">
        <v>20</v>
      </c>
      <c r="F9" s="105"/>
      <c r="G9" s="106"/>
      <c r="H9" s="105"/>
      <c r="I9" s="106"/>
      <c r="J9" s="105" t="s">
        <v>26</v>
      </c>
      <c r="K9" s="106" t="s">
        <v>20</v>
      </c>
      <c r="L9" s="107" t="s">
        <v>26</v>
      </c>
    </row>
    <row r="10" spans="1:32" ht="15" customHeight="1">
      <c r="A10" s="911"/>
      <c r="B10" s="912"/>
      <c r="C10" s="912"/>
      <c r="D10" s="913"/>
      <c r="E10" s="914"/>
      <c r="F10" s="913"/>
      <c r="G10" s="914"/>
      <c r="H10" s="913"/>
      <c r="I10" s="914"/>
      <c r="J10" s="913"/>
      <c r="K10" s="914"/>
      <c r="L10" s="915"/>
    </row>
    <row r="11" spans="1:32" ht="20.25" customHeight="1">
      <c r="A11" s="916" t="s">
        <v>372</v>
      </c>
      <c r="B11" s="917" t="s">
        <v>371</v>
      </c>
      <c r="C11" s="917"/>
      <c r="D11" s="918">
        <f>'T6'!$D$12+'T6'!$G$12+'T6'!$J$12+'T6'!$M$12</f>
        <v>0</v>
      </c>
      <c r="E11" s="919" t="str">
        <f>IF(ISNUMBER($D11/($D11+$F11)),ROUND($D11/($D11+$F11),2),"")</f>
        <v/>
      </c>
      <c r="F11" s="918">
        <f>'T6'!$E$12+'T6'!$H$12+'T6'!$K$12+'T6'!$N$12</f>
        <v>0</v>
      </c>
      <c r="G11" s="919" t="str">
        <f>IF(ISNUMBER($F11/($D11+$F11)),ROUND($F11/($D11+$F11),2),"")</f>
        <v/>
      </c>
      <c r="H11" s="918">
        <f>'T6'!$P$12</f>
        <v>0</v>
      </c>
      <c r="I11" s="919" t="str">
        <f>IF(ISNUMBER($H11/($H11+$J11)),ROUND($H11/($H11+$J11),2),"")</f>
        <v/>
      </c>
      <c r="J11" s="918">
        <f>'T6'!$Q$12</f>
        <v>0</v>
      </c>
      <c r="K11" s="919" t="str">
        <f>IF(ISNUMBER($J11/($H11+$J11)),ROUND($J11/($H11+$J11),2),"")</f>
        <v/>
      </c>
      <c r="L11" s="920">
        <f>SUM($D11,$F11,$H11,$J11)</f>
        <v>0</v>
      </c>
    </row>
    <row r="12" spans="1:32" s="13" customFormat="1" ht="15" customHeight="1">
      <c r="A12" s="921"/>
      <c r="B12" s="922"/>
      <c r="C12" s="922"/>
      <c r="D12" s="923"/>
      <c r="E12" s="924"/>
      <c r="F12" s="923"/>
      <c r="G12" s="924"/>
      <c r="H12" s="923"/>
      <c r="I12" s="924"/>
      <c r="J12" s="923"/>
      <c r="K12" s="924"/>
      <c r="L12" s="925"/>
    </row>
    <row r="13" spans="1:32" ht="20.25" customHeight="1">
      <c r="A13" s="926"/>
      <c r="B13" s="922" t="s">
        <v>370</v>
      </c>
      <c r="C13" s="922" t="s">
        <v>369</v>
      </c>
      <c r="D13" s="923">
        <f>'T6'!$D$14+'T6'!$G$14+'T6'!$J$14+'T6'!$M$14</f>
        <v>0</v>
      </c>
      <c r="E13" s="919" t="str">
        <f>IF(ISNUMBER($D13/($D13+$F13)),ROUND($D13/($D13+$F13),2),"")</f>
        <v/>
      </c>
      <c r="F13" s="927">
        <f>'T6'!$E$14+'T6'!$H$14+'T6'!$K$14+'T6'!$N$14</f>
        <v>0</v>
      </c>
      <c r="G13" s="919" t="str">
        <f>IF(ISNUMBER($F13/($D13+$F13)),ROUND($F13/($D13+$F13),2),"")</f>
        <v/>
      </c>
      <c r="H13" s="927">
        <f>'T6'!$P$14</f>
        <v>0</v>
      </c>
      <c r="I13" s="919" t="str">
        <f>IF(ISNUMBER($H13/($H13+$J13)),ROUND($H13/($H13+$J13),2),"")</f>
        <v/>
      </c>
      <c r="J13" s="927">
        <f>'T6'!$Q$14</f>
        <v>0</v>
      </c>
      <c r="K13" s="919" t="str">
        <f>IF(ISNUMBER($J13/($H13+$J13)),ROUND($J13/($H13+$J13),2),"")</f>
        <v/>
      </c>
      <c r="L13" s="925">
        <f>SUM($D13,$F13,$H13,$J13)</f>
        <v>0</v>
      </c>
    </row>
    <row r="14" spans="1:32" ht="15" customHeight="1">
      <c r="A14" s="921"/>
      <c r="B14" s="922"/>
      <c r="C14" s="922"/>
      <c r="D14" s="928"/>
      <c r="E14" s="924"/>
      <c r="F14" s="928"/>
      <c r="G14" s="924"/>
      <c r="H14" s="928"/>
      <c r="I14" s="924"/>
      <c r="J14" s="928"/>
      <c r="K14" s="924"/>
      <c r="L14" s="929"/>
    </row>
    <row r="15" spans="1:32" ht="20.25" customHeight="1">
      <c r="A15" s="926"/>
      <c r="B15" s="922" t="s">
        <v>368</v>
      </c>
      <c r="C15" s="922" t="s">
        <v>367</v>
      </c>
      <c r="D15" s="927">
        <f>'T6'!$D$16+'T6'!$G$16+'T6'!$J$16+'T6'!$M$16</f>
        <v>0</v>
      </c>
      <c r="E15" s="919" t="str">
        <f>IF(ISNUMBER($D15/($D15+$F15)),ROUND($D15/($D15+$F15),2),"")</f>
        <v/>
      </c>
      <c r="F15" s="927">
        <f>'T6'!$E$16+'T6'!$H$16+'T6'!$K$16+'T6'!$N$16</f>
        <v>0</v>
      </c>
      <c r="G15" s="919" t="str">
        <f>IF(ISNUMBER($F15/($D15+$F15)),ROUND($F15/($D15+$F15),2),"")</f>
        <v/>
      </c>
      <c r="H15" s="927">
        <f>'T6'!$P$16</f>
        <v>0</v>
      </c>
      <c r="I15" s="919" t="str">
        <f>IF(ISNUMBER($H15/($H15+$J15)),ROUND($H15/($H15+$J15),2),"")</f>
        <v/>
      </c>
      <c r="J15" s="927">
        <f>'T6'!$Q$16</f>
        <v>0</v>
      </c>
      <c r="K15" s="919" t="str">
        <f>IF(ISNUMBER($J15/($H15+$J15)),ROUND($J15/($H15+$J15),2),"")</f>
        <v/>
      </c>
      <c r="L15" s="925">
        <f>SUM($D15,$F15,$H15,$J15)</f>
        <v>0</v>
      </c>
    </row>
    <row r="16" spans="1:32" ht="15" customHeight="1">
      <c r="A16" s="921"/>
      <c r="B16" s="922"/>
      <c r="C16" s="922"/>
      <c r="D16" s="928"/>
      <c r="E16" s="924"/>
      <c r="F16" s="928"/>
      <c r="G16" s="924"/>
      <c r="H16" s="928"/>
      <c r="I16" s="924"/>
      <c r="J16" s="928"/>
      <c r="K16" s="924"/>
      <c r="L16" s="929"/>
    </row>
    <row r="17" spans="1:12" ht="20.25" customHeight="1">
      <c r="A17" s="926"/>
      <c r="B17" s="922" t="s">
        <v>366</v>
      </c>
      <c r="C17" s="930" t="s">
        <v>365</v>
      </c>
      <c r="D17" s="927">
        <f>'T6'!$D$18+'T6'!$G$18+'T6'!$J$18+'T6'!$M$18</f>
        <v>0</v>
      </c>
      <c r="E17" s="919" t="str">
        <f>IF(ISNUMBER($D17/($D17+$F17)),ROUND($D17/($D17+$F17),2),"")</f>
        <v/>
      </c>
      <c r="F17" s="927">
        <f>'T6'!$E$18+'T6'!$H$18+'T6'!$K$18+'T6'!$N$18</f>
        <v>0</v>
      </c>
      <c r="G17" s="919" t="str">
        <f>IF(ISNUMBER($F17/($D17+$F17)),ROUND($F17/($D17+$F17),2),"")</f>
        <v/>
      </c>
      <c r="H17" s="927">
        <f>'T6'!$P$18</f>
        <v>0</v>
      </c>
      <c r="I17" s="919" t="str">
        <f>IF(ISNUMBER($H17/($H17+$J17)),ROUND($H17/($H17+$J17),2),"")</f>
        <v/>
      </c>
      <c r="J17" s="927">
        <f>'T6'!$Q$18</f>
        <v>0</v>
      </c>
      <c r="K17" s="919" t="str">
        <f>IF(ISNUMBER($J17/($H17+$J17)),ROUND($J17/($H17+$J17),2),"")</f>
        <v/>
      </c>
      <c r="L17" s="925">
        <f>SUM($D17,$F17,$H17,$J17)</f>
        <v>0</v>
      </c>
    </row>
    <row r="18" spans="1:12" ht="15" customHeight="1">
      <c r="A18" s="921"/>
      <c r="B18" s="922"/>
      <c r="C18" s="922"/>
      <c r="D18" s="928"/>
      <c r="E18" s="924"/>
      <c r="F18" s="928"/>
      <c r="G18" s="924"/>
      <c r="H18" s="928"/>
      <c r="I18" s="924"/>
      <c r="J18" s="928"/>
      <c r="K18" s="924"/>
      <c r="L18" s="929"/>
    </row>
    <row r="19" spans="1:12" ht="20.25" customHeight="1">
      <c r="A19" s="916" t="s">
        <v>364</v>
      </c>
      <c r="B19" s="917" t="s">
        <v>363</v>
      </c>
      <c r="C19" s="917"/>
      <c r="D19" s="931">
        <f>'T6'!$D$20+'T6'!$G$20+'T6'!$J$20+'T6'!$M$20</f>
        <v>0</v>
      </c>
      <c r="E19" s="919" t="str">
        <f>IF(ISNUMBER($D19/($D19+$F19)),ROUND($D19/($D19+$F19),2),"")</f>
        <v/>
      </c>
      <c r="F19" s="931">
        <f>'T6'!$E$20+'T6'!$H$20+'T6'!$K$20+'T6'!$N$20</f>
        <v>0</v>
      </c>
      <c r="G19" s="919" t="str">
        <f>IF(ISNUMBER($F19/($D19+$F19)),ROUND($F19/($D19+$F19),2),"")</f>
        <v/>
      </c>
      <c r="H19" s="931">
        <f>'T6'!$P$20</f>
        <v>0</v>
      </c>
      <c r="I19" s="919" t="str">
        <f>IF(ISNUMBER($H19/($H19+$J19)),ROUND($H19/($H19+$J19),2),"")</f>
        <v/>
      </c>
      <c r="J19" s="931">
        <f>'T6'!$Q$20</f>
        <v>0</v>
      </c>
      <c r="K19" s="919" t="str">
        <f>IF(ISNUMBER($J19/($H19+$J19)),ROUND($J19/($H19+$J19),2),"")</f>
        <v/>
      </c>
      <c r="L19" s="920">
        <f>SUM($D19,$F19,$H19,$J19)</f>
        <v>0</v>
      </c>
    </row>
    <row r="20" spans="1:12" ht="15" customHeight="1">
      <c r="A20" s="921"/>
      <c r="B20" s="922"/>
      <c r="C20" s="922"/>
      <c r="D20" s="928"/>
      <c r="E20" s="924"/>
      <c r="F20" s="928"/>
      <c r="G20" s="924"/>
      <c r="H20" s="928"/>
      <c r="I20" s="924"/>
      <c r="J20" s="928"/>
      <c r="K20" s="924"/>
      <c r="L20" s="929"/>
    </row>
    <row r="21" spans="1:12" ht="20.25" customHeight="1">
      <c r="A21" s="916" t="s">
        <v>362</v>
      </c>
      <c r="B21" s="917" t="s">
        <v>9</v>
      </c>
      <c r="C21" s="917"/>
      <c r="D21" s="932">
        <f>'T6'!$D$22+'T6'!$G$22+'T6'!$J$22+'T6'!$M$22</f>
        <v>0</v>
      </c>
      <c r="E21" s="919" t="str">
        <f>IF(ISNUMBER($D21/($D21+$F21)),ROUND($D21/($D21+$F21),2),"")</f>
        <v/>
      </c>
      <c r="F21" s="932">
        <f>'T6'!$E$22+'T6'!$H$22+'T6'!$K$22+'T6'!$N$22</f>
        <v>0</v>
      </c>
      <c r="G21" s="919" t="str">
        <f>IF(ISNUMBER($F21/($D21+$F21)),ROUND($F21/($D21+$F21),2),"")</f>
        <v/>
      </c>
      <c r="H21" s="932">
        <f>'T6'!$P$22</f>
        <v>0</v>
      </c>
      <c r="I21" s="919" t="str">
        <f>IF(ISNUMBER($H21/($H21+$J21)),ROUND($H21/($H21+$J21),2),"")</f>
        <v/>
      </c>
      <c r="J21" s="932">
        <f>'T6'!$Q$22</f>
        <v>0</v>
      </c>
      <c r="K21" s="919" t="str">
        <f>IF(ISNUMBER($J21/($H21+$J21)),ROUND($J21/($H21+$J21),2),"")</f>
        <v/>
      </c>
      <c r="L21" s="920">
        <f>SUM($D21,$F21,$H21,$J21)</f>
        <v>0</v>
      </c>
    </row>
    <row r="22" spans="1:12" ht="15" customHeight="1">
      <c r="A22" s="921"/>
      <c r="B22" s="922"/>
      <c r="C22" s="922"/>
      <c r="D22" s="932"/>
      <c r="E22" s="919"/>
      <c r="F22" s="932"/>
      <c r="G22" s="919"/>
      <c r="H22" s="932"/>
      <c r="I22" s="919"/>
      <c r="J22" s="932"/>
      <c r="K22" s="919"/>
      <c r="L22" s="920"/>
    </row>
    <row r="23" spans="1:12" ht="20.25" customHeight="1">
      <c r="A23" s="926"/>
      <c r="B23" s="922" t="s">
        <v>361</v>
      </c>
      <c r="C23" s="922" t="s">
        <v>360</v>
      </c>
      <c r="D23" s="927">
        <f>'T6'!$D$24+'T6'!$G$24+'T6'!$J$24+'T6'!$M$24</f>
        <v>0</v>
      </c>
      <c r="E23" s="919" t="str">
        <f>IF(ISNUMBER($D23/($D23+$F23)),ROUND($D23/($D23+$F23),2),"")</f>
        <v/>
      </c>
      <c r="F23" s="927">
        <f>'T6'!$E$24+'T6'!$H$24+'T6'!$K$24+'T6'!$N$24</f>
        <v>0</v>
      </c>
      <c r="G23" s="919" t="str">
        <f>IF(ISNUMBER($F23/($D23+$F23)),ROUND($F23/($D23+$F23),2),"")</f>
        <v/>
      </c>
      <c r="H23" s="927">
        <f>'T6'!$P$24</f>
        <v>0</v>
      </c>
      <c r="I23" s="919" t="str">
        <f>IF(ISNUMBER($H23/($H23+$J23)),ROUND($H23/($H23+$J23),2),"")</f>
        <v/>
      </c>
      <c r="J23" s="927">
        <f>'T6'!$Q$24</f>
        <v>0</v>
      </c>
      <c r="K23" s="919" t="str">
        <f>IF(ISNUMBER($J23/($H23+$J23)),ROUND($J23/($H23+$J23),2),"")</f>
        <v/>
      </c>
      <c r="L23" s="925">
        <f>SUM($D23,$F23,$H23,$J23)</f>
        <v>0</v>
      </c>
    </row>
    <row r="24" spans="1:12" ht="20.25" customHeight="1">
      <c r="A24" s="926"/>
      <c r="B24" s="922" t="s">
        <v>359</v>
      </c>
      <c r="C24" s="930" t="s">
        <v>358</v>
      </c>
      <c r="D24" s="927">
        <f>'T6'!$D$25+'T6'!$G$25+'T6'!$J$25+'T6'!$M$25</f>
        <v>0</v>
      </c>
      <c r="E24" s="919" t="str">
        <f>IF(ISNUMBER($D24/($D24+$F24)),ROUND($D24/($D24+$F24),2),"")</f>
        <v/>
      </c>
      <c r="F24" s="927">
        <f>'T6'!$E$25+'T6'!$H$25+'T6'!$K$25+'T6'!$N$25</f>
        <v>0</v>
      </c>
      <c r="G24" s="919" t="str">
        <f>IF(ISNUMBER($F24/($D24+$F24)),ROUND($F24/($D24+$F24),2),"")</f>
        <v/>
      </c>
      <c r="H24" s="927">
        <f>'T6'!$P$25</f>
        <v>0</v>
      </c>
      <c r="I24" s="919" t="str">
        <f>IF(ISNUMBER($H24/($H24+$J24)),ROUND($H24/($H24+$J24),2),"")</f>
        <v/>
      </c>
      <c r="J24" s="927">
        <f>'T6'!$Q$25</f>
        <v>0</v>
      </c>
      <c r="K24" s="919" t="str">
        <f>IF(ISNUMBER($J24/($H24+$J24)),ROUND($J24/($H24+$J24),2),"")</f>
        <v/>
      </c>
      <c r="L24" s="925">
        <f>SUM($D24,$F24,$H24,$J24)</f>
        <v>0</v>
      </c>
    </row>
    <row r="25" spans="1:12" ht="15" customHeight="1" thickBot="1">
      <c r="A25" s="933"/>
      <c r="B25" s="934"/>
      <c r="C25" s="934"/>
      <c r="D25" s="935"/>
      <c r="E25" s="936"/>
      <c r="F25" s="935"/>
      <c r="G25" s="936"/>
      <c r="H25" s="935"/>
      <c r="I25" s="936"/>
      <c r="J25" s="935"/>
      <c r="K25" s="936"/>
      <c r="L25" s="937"/>
    </row>
    <row r="26" spans="1:12" ht="20.25" customHeight="1" thickBot="1">
      <c r="A26" s="938"/>
      <c r="B26" s="939" t="s">
        <v>11</v>
      </c>
      <c r="C26" s="940"/>
      <c r="D26" s="941">
        <f>SUM($D$21,$D$19,$D$11)</f>
        <v>0</v>
      </c>
      <c r="E26" s="942" t="str">
        <f>IF(ISNUMBER($D26/($D26+$F26)),ROUND($D26/($D26+$F26),2),"")</f>
        <v/>
      </c>
      <c r="F26" s="941">
        <f>SUM($F$21,$F$19,$F$11)</f>
        <v>0</v>
      </c>
      <c r="G26" s="942" t="str">
        <f>IF(ISNUMBER($F26/($D26+$F26)),ROUND($F26/($D26+$F26),2),"")</f>
        <v/>
      </c>
      <c r="H26" s="941">
        <f>SUM($H$21,$H$19,$H$11)</f>
        <v>0</v>
      </c>
      <c r="I26" s="942" t="str">
        <f>IF(ISNUMBER($H26/($H26+$J26)),ROUND($H26/($H26+$J26),2),"")</f>
        <v/>
      </c>
      <c r="J26" s="941">
        <f>SUM($J$21,$J$19,$J$11)</f>
        <v>0</v>
      </c>
      <c r="K26" s="942" t="str">
        <f>IF(ISNUMBER($J26/($H26+$J26)),ROUND($J26/($H26+$J26),2),"")</f>
        <v/>
      </c>
      <c r="L26" s="943">
        <f>SUM($L$21,$L$19,$L$11)</f>
        <v>0</v>
      </c>
    </row>
  </sheetData>
  <sheetProtection algorithmName="SHA-512" hashValue="Fi9bkHKqtjZNVvSIYJOwj+uB90A0L4v01DEfypk6+qLHAiCkrYWUfBa0qHKxusjXZtNrlKdq4gGAj6k8gA1x6g==" saltValue="hKFfTYrzUtz6p8V9AI9ShQ==" spinCount="100000" sheet="1" objects="1" scenarios="1"/>
  <mergeCells count="9">
    <mergeCell ref="A1:L1"/>
    <mergeCell ref="D4:E4"/>
    <mergeCell ref="A7:C9"/>
    <mergeCell ref="D7:G7"/>
    <mergeCell ref="H7:K7"/>
    <mergeCell ref="D8:E8"/>
    <mergeCell ref="F8:G8"/>
    <mergeCell ref="H8:I8"/>
    <mergeCell ref="J8:K8"/>
  </mergeCells>
  <pageMargins left="0.19685039370078741" right="0.19685039370078741" top="0.39370078740157483" bottom="0.39370078740157483" header="0.51181102362204722" footer="0.19685039370078741"/>
  <pageSetup paperSize="8" orientation="landscape" r:id="rId1"/>
  <headerFooter alignWithMargins="0">
    <oddFooter>&amp;C&amp;8&amp;F&amp;R&amp;8&amp;A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593C-941D-45CA-B25C-54E51825849F}">
  <sheetPr>
    <pageSetUpPr fitToPage="1"/>
  </sheetPr>
  <dimension ref="A1:BB35"/>
  <sheetViews>
    <sheetView zoomScaleNormal="100" workbookViewId="0">
      <selection activeCell="D4" sqref="D4:E4"/>
    </sheetView>
  </sheetViews>
  <sheetFormatPr defaultColWidth="10.7265625" defaultRowHeight="15" customHeight="1"/>
  <cols>
    <col min="1" max="2" width="5.7265625" style="909" customWidth="1"/>
    <col min="3" max="3" width="50.7265625" style="909" customWidth="1"/>
    <col min="4" max="18" width="20.7265625" style="909" customWidth="1"/>
    <col min="19" max="16384" width="10.7265625" style="909"/>
  </cols>
  <sheetData>
    <row r="1" spans="1:54" ht="30" customHeight="1" thickBot="1">
      <c r="A1" s="1425" t="s">
        <v>484</v>
      </c>
      <c r="B1" s="1426"/>
      <c r="C1" s="1426"/>
      <c r="D1" s="1426"/>
      <c r="E1" s="1426"/>
      <c r="F1" s="1426"/>
      <c r="G1" s="1426"/>
      <c r="H1" s="1426"/>
      <c r="I1" s="1426"/>
      <c r="J1" s="1426"/>
      <c r="K1" s="1426"/>
      <c r="L1" s="1494"/>
      <c r="M1" s="944"/>
      <c r="N1" s="944"/>
      <c r="O1" s="944"/>
      <c r="P1" s="944"/>
      <c r="Q1" s="944"/>
      <c r="R1" s="944"/>
    </row>
    <row r="3" spans="1:54" s="3" customFormat="1" ht="15" customHeight="1" thickBot="1">
      <c r="A3" s="43"/>
      <c r="B3" s="43"/>
      <c r="C3" s="43"/>
      <c r="D3" s="945"/>
      <c r="E3" s="945"/>
      <c r="F3" s="45"/>
      <c r="G3" s="44"/>
      <c r="H3" s="44"/>
      <c r="I3" s="44"/>
      <c r="J3" s="44"/>
      <c r="K3" s="44"/>
      <c r="L3" s="44"/>
      <c r="M3" s="44"/>
      <c r="N3" s="44"/>
      <c r="O3" s="44"/>
      <c r="P3" s="44"/>
      <c r="Q3" s="44"/>
      <c r="R3" s="44"/>
      <c r="S3" s="43"/>
      <c r="T3" s="43"/>
      <c r="U3" s="945"/>
      <c r="V3" s="945"/>
      <c r="W3" s="45"/>
      <c r="X3" s="44"/>
      <c r="Y3" s="44"/>
      <c r="Z3" s="44"/>
      <c r="AA3" s="44"/>
      <c r="AB3" s="44"/>
      <c r="AC3" s="44"/>
      <c r="AD3" s="44"/>
      <c r="AE3" s="44"/>
      <c r="AF3" s="44"/>
      <c r="AG3" s="44"/>
      <c r="AH3" s="44"/>
      <c r="AI3" s="44"/>
      <c r="AJ3" s="44"/>
      <c r="AK3" s="44"/>
      <c r="AL3" s="44"/>
      <c r="AM3" s="43"/>
      <c r="AN3" s="43"/>
      <c r="AO3" s="43"/>
      <c r="AP3" s="945"/>
      <c r="AQ3" s="945"/>
      <c r="AR3" s="45"/>
      <c r="AS3" s="44"/>
      <c r="AT3" s="44"/>
      <c r="AU3" s="44"/>
      <c r="AV3" s="44"/>
      <c r="AW3" s="44"/>
      <c r="AX3" s="44"/>
      <c r="AY3" s="44"/>
      <c r="AZ3" s="44"/>
      <c r="BA3" s="44"/>
      <c r="BB3" s="45"/>
    </row>
    <row r="4" spans="1:54" s="3" customFormat="1" ht="20.25" customHeight="1" thickBot="1">
      <c r="B4" s="42"/>
      <c r="C4" s="42" t="s">
        <v>6</v>
      </c>
      <c r="D4" s="1434" t="str">
        <f>DNB</f>
        <v>Naam distributienetbeheerder</v>
      </c>
      <c r="E4" s="1436"/>
      <c r="F4" s="42"/>
      <c r="J4" s="44"/>
      <c r="K4" s="44"/>
      <c r="L4" s="44"/>
      <c r="M4" s="44"/>
      <c r="N4" s="44"/>
      <c r="O4" s="44"/>
      <c r="P4" s="44"/>
      <c r="Q4" s="44"/>
      <c r="R4" s="44"/>
      <c r="S4" s="44"/>
      <c r="T4" s="44"/>
      <c r="U4" s="44"/>
      <c r="V4" s="44"/>
      <c r="W4" s="44"/>
      <c r="X4" s="44"/>
      <c r="Y4" s="44"/>
      <c r="Z4" s="44"/>
      <c r="AA4" s="44"/>
      <c r="AB4" s="45"/>
    </row>
    <row r="6" spans="1:54" ht="15" customHeight="1" thickBot="1"/>
    <row r="7" spans="1:54" ht="15" customHeight="1">
      <c r="A7" s="1567" t="s">
        <v>82</v>
      </c>
      <c r="B7" s="1568"/>
      <c r="C7" s="1573"/>
      <c r="D7" s="1577" t="s">
        <v>384</v>
      </c>
      <c r="E7" s="1568"/>
      <c r="F7" s="1568"/>
      <c r="G7" s="1568"/>
      <c r="H7" s="1568"/>
      <c r="I7" s="1568"/>
      <c r="J7" s="1568"/>
      <c r="K7" s="1568"/>
      <c r="L7" s="1568"/>
      <c r="M7" s="1568"/>
      <c r="N7" s="1568"/>
      <c r="O7" s="1573"/>
      <c r="P7" s="1577" t="s">
        <v>383</v>
      </c>
      <c r="Q7" s="1568"/>
      <c r="R7" s="1578"/>
    </row>
    <row r="8" spans="1:54" ht="15" customHeight="1">
      <c r="A8" s="1569"/>
      <c r="B8" s="1574"/>
      <c r="C8" s="1575"/>
      <c r="D8" s="1579" t="s">
        <v>382</v>
      </c>
      <c r="E8" s="1580"/>
      <c r="F8" s="1581"/>
      <c r="G8" s="1579" t="s">
        <v>381</v>
      </c>
      <c r="H8" s="1580"/>
      <c r="I8" s="1581"/>
      <c r="J8" s="1579" t="s">
        <v>380</v>
      </c>
      <c r="K8" s="1580"/>
      <c r="L8" s="1581"/>
      <c r="M8" s="1579" t="s">
        <v>379</v>
      </c>
      <c r="N8" s="1580"/>
      <c r="O8" s="1581"/>
      <c r="P8" s="1582"/>
      <c r="Q8" s="1570"/>
      <c r="R8" s="1583"/>
    </row>
    <row r="9" spans="1:54" ht="15" customHeight="1">
      <c r="A9" s="1569"/>
      <c r="B9" s="1574"/>
      <c r="C9" s="1575"/>
      <c r="D9" s="1579" t="s">
        <v>378</v>
      </c>
      <c r="E9" s="1580"/>
      <c r="F9" s="1581"/>
      <c r="G9" s="1579" t="s">
        <v>377</v>
      </c>
      <c r="H9" s="1580"/>
      <c r="I9" s="1581"/>
      <c r="J9" s="1579" t="s">
        <v>376</v>
      </c>
      <c r="K9" s="1580"/>
      <c r="L9" s="1581"/>
      <c r="M9" s="1579"/>
      <c r="N9" s="1580"/>
      <c r="O9" s="1581"/>
      <c r="P9" s="1582"/>
      <c r="Q9" s="1570"/>
      <c r="R9" s="1583"/>
    </row>
    <row r="10" spans="1:54" ht="15" customHeight="1" thickBot="1">
      <c r="A10" s="1571"/>
      <c r="B10" s="1572"/>
      <c r="C10" s="1576"/>
      <c r="D10" s="946" t="s">
        <v>375</v>
      </c>
      <c r="E10" s="947" t="s">
        <v>374</v>
      </c>
      <c r="F10" s="948" t="s">
        <v>373</v>
      </c>
      <c r="G10" s="946" t="s">
        <v>375</v>
      </c>
      <c r="H10" s="947" t="s">
        <v>374</v>
      </c>
      <c r="I10" s="948" t="s">
        <v>373</v>
      </c>
      <c r="J10" s="946" t="s">
        <v>375</v>
      </c>
      <c r="K10" s="947" t="s">
        <v>374</v>
      </c>
      <c r="L10" s="948" t="s">
        <v>373</v>
      </c>
      <c r="M10" s="946" t="s">
        <v>375</v>
      </c>
      <c r="N10" s="947" t="s">
        <v>374</v>
      </c>
      <c r="O10" s="948" t="s">
        <v>373</v>
      </c>
      <c r="P10" s="946" t="s">
        <v>375</v>
      </c>
      <c r="Q10" s="947" t="s">
        <v>374</v>
      </c>
      <c r="R10" s="949" t="s">
        <v>373</v>
      </c>
    </row>
    <row r="11" spans="1:54" ht="15" customHeight="1">
      <c r="A11" s="911"/>
      <c r="B11" s="912"/>
      <c r="C11" s="912"/>
      <c r="D11" s="913"/>
      <c r="E11" s="950"/>
      <c r="F11" s="914"/>
      <c r="G11" s="913"/>
      <c r="H11" s="950"/>
      <c r="I11" s="914"/>
      <c r="J11" s="913"/>
      <c r="K11" s="950"/>
      <c r="L11" s="914"/>
      <c r="M11" s="913"/>
      <c r="N11" s="950"/>
      <c r="O11" s="914"/>
      <c r="P11" s="913"/>
      <c r="Q11" s="950"/>
      <c r="R11" s="951"/>
    </row>
    <row r="12" spans="1:54" ht="20.25" customHeight="1">
      <c r="A12" s="916" t="s">
        <v>372</v>
      </c>
      <c r="B12" s="917" t="s">
        <v>371</v>
      </c>
      <c r="C12" s="917"/>
      <c r="D12" s="918">
        <f>SUM($D$14,$D$16,$D$18)</f>
        <v>0</v>
      </c>
      <c r="E12" s="952">
        <f>SUM($E$14,$E$16,$E$18)</f>
        <v>0</v>
      </c>
      <c r="F12" s="953">
        <f>SUM($D$12:$E$12)</f>
        <v>0</v>
      </c>
      <c r="G12" s="918">
        <f>SUM($G$14,$G$16,$G$18)</f>
        <v>0</v>
      </c>
      <c r="H12" s="952">
        <f>SUM($H$14,$H$16,$H$18)</f>
        <v>0</v>
      </c>
      <c r="I12" s="953">
        <f>SUM($G$12:$H$12)</f>
        <v>0</v>
      </c>
      <c r="J12" s="918">
        <f>SUM($J$14,$J$16,$J$18)</f>
        <v>0</v>
      </c>
      <c r="K12" s="952">
        <f>SUM($K$14,$K$16,$K$18)</f>
        <v>0</v>
      </c>
      <c r="L12" s="953">
        <f>SUM($J$12:$K$12)</f>
        <v>0</v>
      </c>
      <c r="M12" s="918">
        <f>SUM($M$14,$M$16,$M$18)</f>
        <v>0</v>
      </c>
      <c r="N12" s="952">
        <f>SUM($N$14,$N$16,$N$18)</f>
        <v>0</v>
      </c>
      <c r="O12" s="953">
        <f>SUM($M$12:$N$12)</f>
        <v>0</v>
      </c>
      <c r="P12" s="918">
        <f>SUM($P$14,$P$16,$P$18)</f>
        <v>0</v>
      </c>
      <c r="Q12" s="952">
        <f>SUM($Q$14,$Q$16,$Q$18)</f>
        <v>0</v>
      </c>
      <c r="R12" s="954">
        <f>SUM($P$12:$Q$12)</f>
        <v>0</v>
      </c>
    </row>
    <row r="13" spans="1:54" s="13" customFormat="1" ht="15" customHeight="1">
      <c r="A13" s="921"/>
      <c r="B13" s="922"/>
      <c r="C13" s="922"/>
      <c r="D13" s="923"/>
      <c r="E13" s="955"/>
      <c r="F13" s="953"/>
      <c r="G13" s="923"/>
      <c r="H13" s="955"/>
      <c r="I13" s="953"/>
      <c r="J13" s="923"/>
      <c r="K13" s="955"/>
      <c r="L13" s="953"/>
      <c r="M13" s="923"/>
      <c r="N13" s="955"/>
      <c r="O13" s="953"/>
      <c r="P13" s="923"/>
      <c r="Q13" s="955"/>
      <c r="R13" s="954"/>
    </row>
    <row r="14" spans="1:54" ht="20.25" customHeight="1">
      <c r="A14" s="926"/>
      <c r="B14" s="922" t="s">
        <v>370</v>
      </c>
      <c r="C14" s="922" t="s">
        <v>369</v>
      </c>
      <c r="D14" s="463"/>
      <c r="E14" s="462"/>
      <c r="F14" s="956">
        <f>SUM($D$14:$E$14)</f>
        <v>0</v>
      </c>
      <c r="G14" s="463"/>
      <c r="H14" s="462"/>
      <c r="I14" s="956">
        <f>SUM($G$14:$H$14)</f>
        <v>0</v>
      </c>
      <c r="J14" s="463"/>
      <c r="K14" s="462"/>
      <c r="L14" s="956">
        <f>SUM($J$14:$K$14)</f>
        <v>0</v>
      </c>
      <c r="M14" s="463"/>
      <c r="N14" s="462"/>
      <c r="O14" s="956">
        <f>SUM($M$14:$N$14)</f>
        <v>0</v>
      </c>
      <c r="P14" s="461"/>
      <c r="Q14" s="460"/>
      <c r="R14" s="957">
        <f>SUM($P$14:$Q$14)</f>
        <v>0</v>
      </c>
    </row>
    <row r="15" spans="1:54" ht="15" customHeight="1">
      <c r="A15" s="921"/>
      <c r="B15" s="922"/>
      <c r="C15" s="922"/>
      <c r="D15" s="923"/>
      <c r="E15" s="955"/>
      <c r="F15" s="953"/>
      <c r="G15" s="923"/>
      <c r="H15" s="955"/>
      <c r="I15" s="953"/>
      <c r="J15" s="923"/>
      <c r="K15" s="955"/>
      <c r="L15" s="953"/>
      <c r="M15" s="923"/>
      <c r="N15" s="955"/>
      <c r="O15" s="953"/>
      <c r="P15" s="923"/>
      <c r="Q15" s="955"/>
      <c r="R15" s="954"/>
    </row>
    <row r="16" spans="1:54" ht="20.25" customHeight="1">
      <c r="A16" s="926"/>
      <c r="B16" s="922" t="s">
        <v>368</v>
      </c>
      <c r="C16" s="922" t="s">
        <v>367</v>
      </c>
      <c r="D16" s="461"/>
      <c r="E16" s="460"/>
      <c r="F16" s="958">
        <f>SUM($D$16:$E$16)</f>
        <v>0</v>
      </c>
      <c r="G16" s="461"/>
      <c r="H16" s="460"/>
      <c r="I16" s="958">
        <f>SUM($G$16:$H$16)</f>
        <v>0</v>
      </c>
      <c r="J16" s="461"/>
      <c r="K16" s="460"/>
      <c r="L16" s="958">
        <f>SUM($J$16:$K$16)</f>
        <v>0</v>
      </c>
      <c r="M16" s="461"/>
      <c r="N16" s="460"/>
      <c r="O16" s="958">
        <f>SUM($M$16:$N$16)</f>
        <v>0</v>
      </c>
      <c r="P16" s="463"/>
      <c r="Q16" s="462"/>
      <c r="R16" s="959">
        <f>SUM($P$16:$Q$16)</f>
        <v>0</v>
      </c>
    </row>
    <row r="17" spans="1:18" ht="15" customHeight="1">
      <c r="A17" s="921"/>
      <c r="B17" s="922"/>
      <c r="C17" s="922"/>
      <c r="D17" s="923"/>
      <c r="E17" s="955"/>
      <c r="F17" s="953"/>
      <c r="G17" s="923"/>
      <c r="H17" s="955"/>
      <c r="I17" s="953"/>
      <c r="J17" s="923"/>
      <c r="K17" s="955"/>
      <c r="L17" s="953"/>
      <c r="M17" s="923"/>
      <c r="N17" s="955"/>
      <c r="O17" s="953"/>
      <c r="P17" s="923"/>
      <c r="Q17" s="955"/>
      <c r="R17" s="954"/>
    </row>
    <row r="18" spans="1:18" ht="20.25" customHeight="1">
      <c r="A18" s="926"/>
      <c r="B18" s="922" t="s">
        <v>366</v>
      </c>
      <c r="C18" s="930" t="s">
        <v>365</v>
      </c>
      <c r="D18" s="463"/>
      <c r="E18" s="462"/>
      <c r="F18" s="956">
        <f>SUM($D$18:$E$18)</f>
        <v>0</v>
      </c>
      <c r="G18" s="463"/>
      <c r="H18" s="462"/>
      <c r="I18" s="956">
        <f>SUM($G$18:$H$18)</f>
        <v>0</v>
      </c>
      <c r="J18" s="463"/>
      <c r="K18" s="462"/>
      <c r="L18" s="956">
        <f>SUM($J$18:$K$18)</f>
        <v>0</v>
      </c>
      <c r="M18" s="463"/>
      <c r="N18" s="462"/>
      <c r="O18" s="956">
        <f>SUM($M$18:$N$18)</f>
        <v>0</v>
      </c>
      <c r="P18" s="463"/>
      <c r="Q18" s="462"/>
      <c r="R18" s="959">
        <f>SUM($P$18:$Q$18)</f>
        <v>0</v>
      </c>
    </row>
    <row r="19" spans="1:18" ht="15" customHeight="1">
      <c r="A19" s="921"/>
      <c r="B19" s="922"/>
      <c r="C19" s="922"/>
      <c r="D19" s="923"/>
      <c r="E19" s="955"/>
      <c r="F19" s="953"/>
      <c r="G19" s="923"/>
      <c r="H19" s="955"/>
      <c r="I19" s="960"/>
      <c r="J19" s="923"/>
      <c r="K19" s="955"/>
      <c r="L19" s="960"/>
      <c r="M19" s="923"/>
      <c r="N19" s="955"/>
      <c r="O19" s="960"/>
      <c r="P19" s="923"/>
      <c r="Q19" s="955"/>
      <c r="R19" s="961"/>
    </row>
    <row r="20" spans="1:18" s="13" customFormat="1" ht="20.25" customHeight="1">
      <c r="A20" s="916" t="s">
        <v>364</v>
      </c>
      <c r="B20" s="917" t="s">
        <v>363</v>
      </c>
      <c r="C20" s="917"/>
      <c r="D20" s="473"/>
      <c r="E20" s="472"/>
      <c r="F20" s="956">
        <f>SUM($D$20:$E$20)</f>
        <v>0</v>
      </c>
      <c r="G20" s="471"/>
      <c r="H20" s="470"/>
      <c r="I20" s="958">
        <f>SUM($G$20:$H$20)</f>
        <v>0</v>
      </c>
      <c r="J20" s="471"/>
      <c r="K20" s="470"/>
      <c r="L20" s="958">
        <f>SUM($J$20:$K$20)</f>
        <v>0</v>
      </c>
      <c r="M20" s="471"/>
      <c r="N20" s="470"/>
      <c r="O20" s="958">
        <f>SUM($M$20:$N$20)</f>
        <v>0</v>
      </c>
      <c r="P20" s="471"/>
      <c r="Q20" s="470"/>
      <c r="R20" s="957">
        <f>SUM($P$20:$Q$20)</f>
        <v>0</v>
      </c>
    </row>
    <row r="21" spans="1:18" ht="15" customHeight="1">
      <c r="A21" s="921"/>
      <c r="B21" s="922"/>
      <c r="C21" s="922"/>
      <c r="D21" s="923"/>
      <c r="E21" s="955"/>
      <c r="F21" s="953"/>
      <c r="G21" s="923"/>
      <c r="H21" s="955"/>
      <c r="I21" s="953"/>
      <c r="J21" s="923"/>
      <c r="K21" s="955"/>
      <c r="L21" s="953"/>
      <c r="M21" s="923"/>
      <c r="N21" s="955"/>
      <c r="O21" s="953"/>
      <c r="P21" s="923"/>
      <c r="Q21" s="955"/>
      <c r="R21" s="954"/>
    </row>
    <row r="22" spans="1:18" s="13" customFormat="1" ht="20.25" customHeight="1">
      <c r="A22" s="916" t="s">
        <v>362</v>
      </c>
      <c r="B22" s="917" t="s">
        <v>9</v>
      </c>
      <c r="C22" s="917"/>
      <c r="D22" s="931">
        <f>SUM($D$24:$D$25)</f>
        <v>0</v>
      </c>
      <c r="E22" s="962">
        <f>SUM($E$24:$E$25)</f>
        <v>0</v>
      </c>
      <c r="F22" s="956">
        <f>SUM($D$22:$E$22)</f>
        <v>0</v>
      </c>
      <c r="G22" s="931">
        <f>SUM($G$24:$G$25)</f>
        <v>0</v>
      </c>
      <c r="H22" s="962">
        <f>SUM($H$24:$H$25)</f>
        <v>0</v>
      </c>
      <c r="I22" s="956">
        <f>SUM($G$22:$H$22)</f>
        <v>0</v>
      </c>
      <c r="J22" s="931">
        <f>SUM($J$24:$J$25)</f>
        <v>0</v>
      </c>
      <c r="K22" s="962">
        <f>SUM($K$24:$K$25)</f>
        <v>0</v>
      </c>
      <c r="L22" s="956">
        <f>SUM($J$22:$K$22)</f>
        <v>0</v>
      </c>
      <c r="M22" s="963">
        <f>SUM($M$24:$M$25)</f>
        <v>0</v>
      </c>
      <c r="N22" s="964">
        <f>SUM($N$24:$N$25)</f>
        <v>0</v>
      </c>
      <c r="O22" s="958">
        <f>SUM($M$22:$N$22)</f>
        <v>0</v>
      </c>
      <c r="P22" s="963">
        <f>SUM($P$24:$P$25)</f>
        <v>0</v>
      </c>
      <c r="Q22" s="964">
        <f>SUM($Q$24:$Q$25)</f>
        <v>0</v>
      </c>
      <c r="R22" s="957">
        <f>SUM($P$22:$Q$22)</f>
        <v>0</v>
      </c>
    </row>
    <row r="23" spans="1:18" s="13" customFormat="1" ht="15" customHeight="1">
      <c r="A23" s="921"/>
      <c r="B23" s="922"/>
      <c r="C23" s="922"/>
      <c r="D23" s="931"/>
      <c r="E23" s="962"/>
      <c r="F23" s="956"/>
      <c r="G23" s="931"/>
      <c r="H23" s="962"/>
      <c r="I23" s="956"/>
      <c r="J23" s="931"/>
      <c r="K23" s="962"/>
      <c r="L23" s="956"/>
      <c r="M23" s="931"/>
      <c r="N23" s="962"/>
      <c r="O23" s="956"/>
      <c r="P23" s="931"/>
      <c r="Q23" s="962"/>
      <c r="R23" s="959"/>
    </row>
    <row r="24" spans="1:18" ht="20.25" customHeight="1">
      <c r="A24" s="926"/>
      <c r="B24" s="922" t="s">
        <v>361</v>
      </c>
      <c r="C24" s="922" t="s">
        <v>360</v>
      </c>
      <c r="D24" s="463"/>
      <c r="E24" s="462"/>
      <c r="F24" s="956">
        <f>SUM($D$24:$E$24)</f>
        <v>0</v>
      </c>
      <c r="G24" s="463"/>
      <c r="H24" s="462"/>
      <c r="I24" s="956">
        <f>SUM($G$24:$H$24)</f>
        <v>0</v>
      </c>
      <c r="J24" s="463"/>
      <c r="K24" s="462"/>
      <c r="L24" s="956">
        <f>SUM($J$24:$K$24)</f>
        <v>0</v>
      </c>
      <c r="M24" s="461"/>
      <c r="N24" s="460"/>
      <c r="O24" s="958">
        <f>SUM($M$24:$N$24)</f>
        <v>0</v>
      </c>
      <c r="P24" s="461"/>
      <c r="Q24" s="460"/>
      <c r="R24" s="957">
        <f>SUM($P$24:$Q$24)</f>
        <v>0</v>
      </c>
    </row>
    <row r="25" spans="1:18" ht="20.25" customHeight="1">
      <c r="A25" s="926"/>
      <c r="B25" s="922" t="s">
        <v>359</v>
      </c>
      <c r="C25" s="930" t="s">
        <v>358</v>
      </c>
      <c r="D25" s="463"/>
      <c r="E25" s="462"/>
      <c r="F25" s="956">
        <f>SUM($D$25:$E$25)</f>
        <v>0</v>
      </c>
      <c r="G25" s="463"/>
      <c r="H25" s="462"/>
      <c r="I25" s="956">
        <f>SUM($G$25:$H$25)</f>
        <v>0</v>
      </c>
      <c r="J25" s="463"/>
      <c r="K25" s="462"/>
      <c r="L25" s="956">
        <f>SUM($J$25:$K$25)</f>
        <v>0</v>
      </c>
      <c r="M25" s="461"/>
      <c r="N25" s="460"/>
      <c r="O25" s="958">
        <f>SUM($M$25:$N$25)</f>
        <v>0</v>
      </c>
      <c r="P25" s="461"/>
      <c r="Q25" s="460"/>
      <c r="R25" s="957">
        <f>SUM($P$25:$Q$25)</f>
        <v>0</v>
      </c>
    </row>
    <row r="26" spans="1:18" ht="15" customHeight="1" thickBot="1">
      <c r="A26" s="933"/>
      <c r="B26" s="934"/>
      <c r="C26" s="934"/>
      <c r="D26" s="965"/>
      <c r="E26" s="966"/>
      <c r="F26" s="967"/>
      <c r="G26" s="965"/>
      <c r="H26" s="966"/>
      <c r="I26" s="967"/>
      <c r="J26" s="965"/>
      <c r="K26" s="966"/>
      <c r="L26" s="968"/>
      <c r="M26" s="965"/>
      <c r="N26" s="966"/>
      <c r="O26" s="968"/>
      <c r="P26" s="965"/>
      <c r="Q26" s="966"/>
      <c r="R26" s="969"/>
    </row>
    <row r="27" spans="1:18" ht="20.25" customHeight="1" thickBot="1">
      <c r="A27" s="970"/>
      <c r="B27" s="971"/>
      <c r="C27" s="939" t="s">
        <v>11</v>
      </c>
      <c r="D27" s="972">
        <f>SUM($D$22,$D$20,$D$12)</f>
        <v>0</v>
      </c>
      <c r="E27" s="973">
        <f>SUM($E$22,$E$20,$E$12)</f>
        <v>0</v>
      </c>
      <c r="F27" s="974">
        <f>SUM($D$27:$E$27)</f>
        <v>0</v>
      </c>
      <c r="G27" s="972">
        <f>SUM($G$22,$G$20,$G$12)</f>
        <v>0</v>
      </c>
      <c r="H27" s="973">
        <f>SUM($H$22,$H$20,$H$12)</f>
        <v>0</v>
      </c>
      <c r="I27" s="974">
        <f>SUM($G$27:$H$27)</f>
        <v>0</v>
      </c>
      <c r="J27" s="972">
        <f>SUM($J$22,$J$20,$J$12)</f>
        <v>0</v>
      </c>
      <c r="K27" s="973">
        <f>SUM($K$22,$K$20,$K$12)</f>
        <v>0</v>
      </c>
      <c r="L27" s="974">
        <f>SUM($J$27:$K$27)</f>
        <v>0</v>
      </c>
      <c r="M27" s="972">
        <f>SUM($M$22,$M$20,$M$12)</f>
        <v>0</v>
      </c>
      <c r="N27" s="973">
        <f>SUM($N$22,$N$20,$N$12)</f>
        <v>0</v>
      </c>
      <c r="O27" s="974">
        <f>SUM($M$27:$N$27)</f>
        <v>0</v>
      </c>
      <c r="P27" s="972">
        <f>SUM($P$22,$P$20,$P$12)</f>
        <v>0</v>
      </c>
      <c r="Q27" s="973">
        <f>SUM($Q$22,$Q$20,$Q$12)</f>
        <v>0</v>
      </c>
      <c r="R27" s="975">
        <f>SUM($P$27:$Q$27)</f>
        <v>0</v>
      </c>
    </row>
    <row r="29" spans="1:18" ht="15" customHeight="1">
      <c r="O29" s="976"/>
      <c r="P29" s="976"/>
      <c r="Q29" s="976"/>
      <c r="R29" s="976"/>
    </row>
    <row r="30" spans="1:18" ht="15" customHeight="1">
      <c r="O30" s="977"/>
      <c r="P30" s="977"/>
      <c r="Q30" s="977"/>
      <c r="R30" s="977"/>
    </row>
    <row r="32" spans="1:18" s="981" customFormat="1" ht="15" customHeight="1">
      <c r="A32" s="909"/>
      <c r="B32" s="909"/>
      <c r="C32" s="978"/>
      <c r="D32" s="979"/>
      <c r="E32" s="979"/>
      <c r="F32" s="980"/>
      <c r="G32" s="979"/>
      <c r="H32" s="979"/>
      <c r="I32" s="979"/>
      <c r="J32" s="979"/>
      <c r="K32" s="979"/>
      <c r="L32" s="979"/>
      <c r="M32" s="979"/>
      <c r="N32" s="979"/>
      <c r="O32" s="979"/>
      <c r="P32" s="979"/>
      <c r="Q32" s="979"/>
      <c r="R32" s="979"/>
    </row>
    <row r="33" spans="3:18" ht="15" customHeight="1">
      <c r="C33" s="978"/>
      <c r="D33" s="982"/>
      <c r="E33" s="982"/>
      <c r="F33" s="982"/>
      <c r="G33" s="982"/>
      <c r="H33" s="982"/>
      <c r="I33" s="982"/>
      <c r="J33" s="982"/>
      <c r="K33" s="982"/>
      <c r="L33" s="982"/>
      <c r="M33" s="982"/>
      <c r="N33" s="982"/>
      <c r="O33" s="982"/>
      <c r="P33" s="982"/>
      <c r="Q33" s="982"/>
      <c r="R33" s="982"/>
    </row>
    <row r="34" spans="3:18" ht="15" customHeight="1">
      <c r="C34" s="978"/>
      <c r="D34" s="983"/>
      <c r="E34" s="983"/>
      <c r="F34" s="979"/>
      <c r="G34" s="983"/>
      <c r="H34" s="983"/>
      <c r="I34" s="979"/>
      <c r="J34" s="983"/>
      <c r="K34" s="983"/>
      <c r="L34" s="979"/>
      <c r="M34" s="983"/>
      <c r="N34" s="983"/>
      <c r="O34" s="979"/>
      <c r="P34" s="979"/>
      <c r="Q34" s="979"/>
      <c r="R34" s="979"/>
    </row>
    <row r="35" spans="3:18" ht="15" customHeight="1">
      <c r="D35" s="982"/>
      <c r="E35" s="982"/>
      <c r="F35" s="982"/>
      <c r="G35" s="982"/>
      <c r="H35" s="982"/>
      <c r="I35" s="982"/>
      <c r="J35" s="982"/>
      <c r="K35" s="982"/>
      <c r="L35" s="982"/>
      <c r="M35" s="982"/>
      <c r="N35" s="982"/>
      <c r="O35" s="982"/>
      <c r="P35" s="982"/>
      <c r="Q35" s="982"/>
      <c r="R35" s="982"/>
    </row>
  </sheetData>
  <sheetProtection algorithmName="SHA-512" hashValue="dNYyIVHdouuA3kAhaJjZABo9Jb+rdn8jp8qZ0eUFl5aZYKSiUcSnbeV7Et+RcEC0njgahZ6QRNCToyXHoI0WfA==" saltValue="owXpUuY0Sok3sBpv+ptSLw=="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19685039370078741" right="0.19685039370078741" top="0.39370078740157483" bottom="0.39370078740157483" header="0.51181102362204722" footer="0.19685039370078741"/>
  <pageSetup paperSize="8" scale="55" orientation="landscape" r:id="rId1"/>
  <headerFooter alignWithMargins="0">
    <oddFooter>&amp;C&amp;8&amp;F&amp;R&amp;8&amp;A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20D6-844D-4E28-AA92-9421E6B91D7D}">
  <sheetPr published="0">
    <pageSetUpPr fitToPage="1"/>
  </sheetPr>
  <dimension ref="A1:M29"/>
  <sheetViews>
    <sheetView workbookViewId="0">
      <selection activeCell="D4" sqref="D4:E4"/>
    </sheetView>
  </sheetViews>
  <sheetFormatPr defaultColWidth="10.7265625" defaultRowHeight="14.5"/>
  <cols>
    <col min="1" max="2" width="5.7265625" style="1" customWidth="1"/>
    <col min="3" max="3" width="50.7265625" style="1" customWidth="1"/>
    <col min="4" max="13" width="20.7265625" style="1" customWidth="1"/>
    <col min="14" max="16384" width="10.7265625" style="1"/>
  </cols>
  <sheetData>
    <row r="1" spans="1:13" ht="30" customHeight="1" thickBot="1">
      <c r="A1" s="1584" t="s">
        <v>486</v>
      </c>
      <c r="B1" s="1585"/>
      <c r="C1" s="1585"/>
      <c r="D1" s="1585"/>
      <c r="E1" s="1585"/>
      <c r="F1" s="1585"/>
      <c r="G1" s="1585"/>
      <c r="H1" s="1585"/>
      <c r="I1" s="1585"/>
      <c r="J1" s="1585"/>
      <c r="K1" s="1585"/>
      <c r="L1" s="1585"/>
      <c r="M1" s="1586"/>
    </row>
    <row r="3" spans="1:13" ht="15" thickBot="1"/>
    <row r="4" spans="1:13" ht="15" thickBot="1">
      <c r="C4" s="475" t="s">
        <v>6</v>
      </c>
      <c r="D4" s="1605" t="str">
        <f>DNB</f>
        <v>Naam distributienetbeheerder</v>
      </c>
      <c r="E4" s="1606"/>
    </row>
    <row r="6" spans="1:13" ht="15" thickBot="1"/>
    <row r="7" spans="1:13">
      <c r="A7" s="1587" t="s">
        <v>82</v>
      </c>
      <c r="B7" s="1588"/>
      <c r="C7" s="1589"/>
      <c r="D7" s="1589" t="s">
        <v>109</v>
      </c>
      <c r="E7" s="1596" t="s">
        <v>384</v>
      </c>
      <c r="F7" s="1597"/>
      <c r="G7" s="1597"/>
      <c r="H7" s="1597"/>
      <c r="I7" s="1597"/>
      <c r="J7" s="1597"/>
      <c r="K7" s="1597"/>
      <c r="L7" s="1598"/>
      <c r="M7" s="1599" t="s">
        <v>383</v>
      </c>
    </row>
    <row r="8" spans="1:13">
      <c r="A8" s="1590"/>
      <c r="B8" s="1591"/>
      <c r="C8" s="1592"/>
      <c r="D8" s="1592"/>
      <c r="E8" s="1602" t="s">
        <v>394</v>
      </c>
      <c r="F8" s="1603"/>
      <c r="G8" s="1603"/>
      <c r="H8" s="1603"/>
      <c r="I8" s="1603" t="s">
        <v>393</v>
      </c>
      <c r="J8" s="1603"/>
      <c r="K8" s="1603" t="s">
        <v>379</v>
      </c>
      <c r="L8" s="1604"/>
      <c r="M8" s="1600"/>
    </row>
    <row r="9" spans="1:13" ht="15" thickBot="1">
      <c r="A9" s="1593"/>
      <c r="B9" s="1594"/>
      <c r="C9" s="1595"/>
      <c r="D9" s="1595"/>
      <c r="E9" s="503" t="s">
        <v>392</v>
      </c>
      <c r="F9" s="502" t="s">
        <v>391</v>
      </c>
      <c r="G9" s="502" t="s">
        <v>390</v>
      </c>
      <c r="H9" s="502" t="s">
        <v>389</v>
      </c>
      <c r="I9" s="502" t="s">
        <v>388</v>
      </c>
      <c r="J9" s="502" t="s">
        <v>376</v>
      </c>
      <c r="K9" s="502" t="s">
        <v>387</v>
      </c>
      <c r="L9" s="501" t="s">
        <v>386</v>
      </c>
      <c r="M9" s="1601"/>
    </row>
    <row r="10" spans="1:13">
      <c r="A10" s="499"/>
      <c r="B10" s="498"/>
      <c r="C10" s="498"/>
      <c r="D10" s="497"/>
      <c r="E10" s="495"/>
      <c r="F10" s="494"/>
      <c r="G10" s="494"/>
      <c r="H10" s="494"/>
      <c r="I10" s="494"/>
      <c r="J10" s="494"/>
      <c r="K10" s="494"/>
      <c r="L10" s="493"/>
      <c r="M10" s="492"/>
    </row>
    <row r="11" spans="1:13">
      <c r="A11" s="469" t="s">
        <v>372</v>
      </c>
      <c r="B11" s="468" t="s">
        <v>371</v>
      </c>
      <c r="C11" s="468"/>
      <c r="D11" s="496"/>
      <c r="E11" s="495"/>
      <c r="F11" s="494"/>
      <c r="G11" s="494"/>
      <c r="H11" s="494"/>
      <c r="I11" s="494"/>
      <c r="J11" s="494"/>
      <c r="K11" s="494"/>
      <c r="L11" s="493"/>
      <c r="M11" s="492"/>
    </row>
    <row r="12" spans="1:13">
      <c r="A12" s="467"/>
      <c r="B12" s="465"/>
      <c r="C12" s="465"/>
      <c r="D12" s="496"/>
      <c r="E12" s="495"/>
      <c r="F12" s="494"/>
      <c r="G12" s="494"/>
      <c r="H12" s="494"/>
      <c r="I12" s="494"/>
      <c r="J12" s="494"/>
      <c r="K12" s="494"/>
      <c r="L12" s="493"/>
      <c r="M12" s="492"/>
    </row>
    <row r="13" spans="1:13" ht="16.5">
      <c r="A13" s="466"/>
      <c r="B13" s="465" t="s">
        <v>370</v>
      </c>
      <c r="C13" s="465" t="s">
        <v>369</v>
      </c>
      <c r="D13" s="150" t="s">
        <v>114</v>
      </c>
      <c r="E13" s="984"/>
      <c r="F13" s="985"/>
      <c r="G13" s="985"/>
      <c r="H13" s="985"/>
      <c r="I13" s="986"/>
      <c r="J13" s="986"/>
      <c r="K13" s="986"/>
      <c r="L13" s="987"/>
      <c r="M13" s="988"/>
    </row>
    <row r="14" spans="1:13" ht="16.5">
      <c r="A14" s="466"/>
      <c r="B14" s="465"/>
      <c r="C14" s="465"/>
      <c r="D14" s="150" t="s">
        <v>115</v>
      </c>
      <c r="E14" s="984"/>
      <c r="F14" s="985"/>
      <c r="G14" s="985"/>
      <c r="H14" s="985"/>
      <c r="I14" s="985"/>
      <c r="J14" s="985"/>
      <c r="K14" s="985"/>
      <c r="L14" s="989"/>
      <c r="M14" s="988"/>
    </row>
    <row r="15" spans="1:13" ht="16.5">
      <c r="A15" s="466"/>
      <c r="B15" s="465"/>
      <c r="C15" s="465"/>
      <c r="D15" s="150" t="s">
        <v>487</v>
      </c>
      <c r="E15" s="990"/>
      <c r="F15" s="986"/>
      <c r="G15" s="986"/>
      <c r="H15" s="986"/>
      <c r="I15" s="985"/>
      <c r="J15" s="985"/>
      <c r="K15" s="986"/>
      <c r="L15" s="987"/>
      <c r="M15" s="988"/>
    </row>
    <row r="16" spans="1:13">
      <c r="A16" s="467"/>
      <c r="B16" s="465"/>
      <c r="C16" s="465"/>
      <c r="D16" s="497"/>
      <c r="E16" s="495"/>
      <c r="F16" s="494"/>
      <c r="G16" s="494"/>
      <c r="H16" s="494"/>
      <c r="I16" s="494"/>
      <c r="J16" s="494"/>
      <c r="K16" s="494"/>
      <c r="L16" s="493"/>
      <c r="M16" s="492"/>
    </row>
    <row r="17" spans="1:13" ht="16.5">
      <c r="A17" s="466"/>
      <c r="B17" s="465" t="s">
        <v>368</v>
      </c>
      <c r="C17" s="465" t="s">
        <v>367</v>
      </c>
      <c r="D17" s="150" t="s">
        <v>116</v>
      </c>
      <c r="E17" s="990"/>
      <c r="F17" s="986"/>
      <c r="G17" s="986"/>
      <c r="H17" s="986"/>
      <c r="I17" s="986"/>
      <c r="J17" s="986"/>
      <c r="K17" s="986"/>
      <c r="L17" s="987"/>
      <c r="M17" s="1003"/>
    </row>
    <row r="18" spans="1:13">
      <c r="A18" s="467"/>
      <c r="B18" s="465"/>
      <c r="C18" s="465"/>
      <c r="D18" s="496"/>
      <c r="E18" s="495"/>
      <c r="F18" s="494"/>
      <c r="G18" s="494"/>
      <c r="H18" s="494"/>
      <c r="I18" s="494"/>
      <c r="J18" s="494"/>
      <c r="K18" s="494"/>
      <c r="L18" s="493"/>
      <c r="M18" s="492"/>
    </row>
    <row r="19" spans="1:13">
      <c r="A19" s="466"/>
      <c r="B19" s="465" t="s">
        <v>366</v>
      </c>
      <c r="C19" s="464" t="s">
        <v>365</v>
      </c>
      <c r="D19" s="489" t="s">
        <v>7</v>
      </c>
      <c r="E19" s="996"/>
      <c r="F19" s="997"/>
      <c r="G19" s="997"/>
      <c r="H19" s="997"/>
      <c r="I19" s="998"/>
      <c r="J19" s="998"/>
      <c r="K19" s="997"/>
      <c r="L19" s="999"/>
      <c r="M19" s="1000"/>
    </row>
    <row r="20" spans="1:13">
      <c r="A20" s="466"/>
      <c r="B20" s="465"/>
      <c r="C20" s="464"/>
      <c r="D20" s="489" t="s">
        <v>8</v>
      </c>
      <c r="E20" s="1001"/>
      <c r="F20" s="998"/>
      <c r="G20" s="998"/>
      <c r="H20" s="998"/>
      <c r="I20" s="997"/>
      <c r="J20" s="997"/>
      <c r="K20" s="997"/>
      <c r="L20" s="999"/>
      <c r="M20" s="1002"/>
    </row>
    <row r="21" spans="1:13">
      <c r="A21" s="466"/>
      <c r="B21" s="465"/>
      <c r="C21" s="464"/>
      <c r="D21" s="489" t="s">
        <v>398</v>
      </c>
      <c r="E21" s="1001"/>
      <c r="F21" s="998"/>
      <c r="G21" s="998"/>
      <c r="H21" s="998"/>
      <c r="I21" s="997"/>
      <c r="J21" s="997"/>
      <c r="K21" s="997"/>
      <c r="L21" s="999"/>
      <c r="M21" s="1002"/>
    </row>
    <row r="22" spans="1:13">
      <c r="A22" s="467"/>
      <c r="B22" s="465"/>
      <c r="C22" s="465"/>
      <c r="D22" s="489"/>
      <c r="E22" s="488"/>
      <c r="F22" s="487"/>
      <c r="G22" s="487"/>
      <c r="H22" s="487"/>
      <c r="I22" s="487"/>
      <c r="J22" s="487"/>
      <c r="K22" s="487"/>
      <c r="L22" s="491"/>
      <c r="M22" s="490"/>
    </row>
    <row r="23" spans="1:13" ht="16.5">
      <c r="A23" s="469" t="s">
        <v>364</v>
      </c>
      <c r="B23" s="468" t="s">
        <v>363</v>
      </c>
      <c r="C23" s="468"/>
      <c r="D23" s="150" t="s">
        <v>115</v>
      </c>
      <c r="E23" s="991"/>
      <c r="F23" s="992"/>
      <c r="G23" s="992"/>
      <c r="H23" s="993"/>
      <c r="I23" s="993"/>
      <c r="J23" s="993"/>
      <c r="K23" s="993"/>
      <c r="L23" s="994"/>
      <c r="M23" s="995"/>
    </row>
    <row r="24" spans="1:13">
      <c r="A24" s="467"/>
      <c r="B24" s="465"/>
      <c r="C24" s="465"/>
      <c r="D24" s="489"/>
      <c r="E24" s="488"/>
      <c r="F24" s="487"/>
      <c r="G24" s="487"/>
      <c r="H24" s="487"/>
      <c r="I24" s="487"/>
      <c r="J24" s="487"/>
      <c r="K24" s="487"/>
      <c r="L24" s="491"/>
      <c r="M24" s="490"/>
    </row>
    <row r="25" spans="1:13">
      <c r="A25" s="469" t="s">
        <v>362</v>
      </c>
      <c r="B25" s="468" t="s">
        <v>9</v>
      </c>
      <c r="C25" s="468"/>
      <c r="D25" s="150"/>
      <c r="E25" s="488"/>
      <c r="F25" s="487"/>
      <c r="G25" s="487"/>
      <c r="H25" s="487"/>
      <c r="I25" s="487"/>
      <c r="J25" s="487"/>
      <c r="K25" s="487"/>
      <c r="L25" s="491"/>
      <c r="M25" s="490"/>
    </row>
    <row r="26" spans="1:13">
      <c r="A26" s="467"/>
      <c r="B26" s="465"/>
      <c r="C26" s="465"/>
      <c r="D26" s="489"/>
      <c r="E26" s="488"/>
      <c r="F26" s="487"/>
      <c r="G26" s="487"/>
      <c r="H26" s="487"/>
      <c r="I26" s="487"/>
      <c r="J26" s="487"/>
      <c r="K26" s="487"/>
      <c r="L26" s="491"/>
      <c r="M26" s="490"/>
    </row>
    <row r="27" spans="1:13" ht="16.5">
      <c r="A27" s="466"/>
      <c r="B27" s="465" t="s">
        <v>361</v>
      </c>
      <c r="C27" s="465" t="s">
        <v>360</v>
      </c>
      <c r="D27" s="150" t="s">
        <v>115</v>
      </c>
      <c r="E27" s="991"/>
      <c r="F27" s="992"/>
      <c r="G27" s="992"/>
      <c r="H27" s="992"/>
      <c r="I27" s="992"/>
      <c r="J27" s="992"/>
      <c r="K27" s="993"/>
      <c r="L27" s="994"/>
      <c r="M27" s="995"/>
    </row>
    <row r="28" spans="1:13" ht="16.5">
      <c r="A28" s="466"/>
      <c r="B28" s="465" t="s">
        <v>359</v>
      </c>
      <c r="C28" s="464" t="s">
        <v>358</v>
      </c>
      <c r="D28" s="150" t="s">
        <v>115</v>
      </c>
      <c r="E28" s="991"/>
      <c r="F28" s="992"/>
      <c r="G28" s="992"/>
      <c r="H28" s="992"/>
      <c r="I28" s="992"/>
      <c r="J28" s="992"/>
      <c r="K28" s="993"/>
      <c r="L28" s="994"/>
      <c r="M28" s="995"/>
    </row>
    <row r="29" spans="1:13" ht="15" thickBot="1">
      <c r="A29" s="459"/>
      <c r="B29" s="458"/>
      <c r="C29" s="458"/>
      <c r="D29" s="486"/>
      <c r="E29" s="483"/>
      <c r="F29" s="482"/>
      <c r="G29" s="482"/>
      <c r="H29" s="482"/>
      <c r="I29" s="482"/>
      <c r="J29" s="482"/>
      <c r="K29" s="482"/>
      <c r="L29" s="481"/>
      <c r="M29" s="480"/>
    </row>
  </sheetData>
  <sheetProtection algorithmName="SHA-512" hashValue="rleG8ICRxvPnqjpoZUc5zjy5vcLARg42wWfk/6f1+ZGOJ4QFKmf+4Ur3KFX8R/6G5PP46Me6yWLrIoo8F+iULA==" saltValue="LaRPbuBaaA0ecUlJ2ZHf0w==" spinCount="100000" sheet="1" objects="1" scenarios="1"/>
  <mergeCells count="9">
    <mergeCell ref="A1:M1"/>
    <mergeCell ref="A7:C9"/>
    <mergeCell ref="D7:D9"/>
    <mergeCell ref="E7:L7"/>
    <mergeCell ref="M7:M9"/>
    <mergeCell ref="E8:H8"/>
    <mergeCell ref="I8:J8"/>
    <mergeCell ref="K8:L8"/>
    <mergeCell ref="D4:E4"/>
  </mergeCells>
  <pageMargins left="0.70866141732283472" right="0.70866141732283472" top="0.74803149606299213" bottom="0.74803149606299213" header="0.31496062992125984" footer="0.31496062992125984"/>
  <pageSetup paperSize="8"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2EEE-A511-4635-9D53-2A88B7A64C05}">
  <sheetPr published="0">
    <tabColor rgb="FFD8E4BC"/>
  </sheetPr>
  <dimension ref="A1"/>
  <sheetViews>
    <sheetView workbookViewId="0"/>
  </sheetViews>
  <sheetFormatPr defaultRowHeight="14.5"/>
  <sheetData/>
  <sheetProtection algorithmName="SHA-512" hashValue="KsM98gToDKaY8CosZXfsIKCatV4ODVmIPHajyHtLW+EraLqtUDp65Y4teYJYFsXaKU61n4N7zXkjTC5REkkIEA==" saltValue="dz2l08L9wIQwB4vQf/fcC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2ABD-46BB-4D3C-A4F0-C14FBE5EDD1C}">
  <sheetPr published="0">
    <pageSetUpPr fitToPage="1"/>
  </sheetPr>
  <dimension ref="A1:BB39"/>
  <sheetViews>
    <sheetView zoomScaleNormal="100" zoomScaleSheetLayoutView="55" workbookViewId="0">
      <selection activeCell="D4" sqref="D4:E4"/>
    </sheetView>
  </sheetViews>
  <sheetFormatPr defaultColWidth="9.1796875" defaultRowHeight="14.5"/>
  <cols>
    <col min="1" max="2" width="5.7265625" style="479" customWidth="1"/>
    <col min="3" max="3" width="50.7265625" style="479" customWidth="1"/>
    <col min="4" max="13" width="20.7265625" style="479" customWidth="1"/>
    <col min="14" max="256" width="10.7265625" style="479" customWidth="1"/>
    <col min="257" max="16384" width="9.1796875" style="479"/>
  </cols>
  <sheetData>
    <row r="1" spans="1:54" ht="30" customHeight="1" thickBot="1">
      <c r="A1" s="1584" t="s">
        <v>485</v>
      </c>
      <c r="B1" s="1585"/>
      <c r="C1" s="1585"/>
      <c r="D1" s="1585"/>
      <c r="E1" s="1585"/>
      <c r="F1" s="1585"/>
      <c r="G1" s="1585"/>
      <c r="H1" s="1585"/>
      <c r="I1" s="1585"/>
      <c r="J1" s="1585"/>
      <c r="K1" s="1585"/>
      <c r="L1" s="1585"/>
      <c r="M1" s="1586"/>
      <c r="N1" s="477"/>
      <c r="O1" s="477"/>
      <c r="P1" s="477"/>
      <c r="Q1" s="477"/>
      <c r="R1" s="477"/>
      <c r="S1" s="513"/>
      <c r="T1" s="513"/>
      <c r="U1" s="513"/>
      <c r="V1" s="513"/>
      <c r="W1" s="513"/>
      <c r="X1" s="531"/>
      <c r="Y1" s="531"/>
      <c r="Z1" s="531"/>
      <c r="AA1" s="531"/>
      <c r="AB1" s="531"/>
      <c r="AC1" s="531"/>
      <c r="AD1" s="531"/>
      <c r="AE1" s="531"/>
      <c r="AF1" s="531"/>
      <c r="AG1" s="531"/>
      <c r="AH1" s="531"/>
      <c r="AI1" s="531"/>
      <c r="AJ1" s="531"/>
      <c r="AK1" s="531"/>
      <c r="AL1" s="531"/>
      <c r="AM1" s="531"/>
      <c r="AN1" s="531"/>
    </row>
    <row r="2" spans="1:54">
      <c r="C2" s="476"/>
      <c r="D2" s="476"/>
      <c r="E2" s="476"/>
      <c r="F2" s="512"/>
      <c r="G2" s="512"/>
      <c r="H2" s="511"/>
      <c r="I2" s="511"/>
      <c r="J2" s="511"/>
      <c r="K2" s="511"/>
      <c r="L2" s="511"/>
      <c r="M2" s="511"/>
      <c r="N2" s="511"/>
      <c r="O2" s="511"/>
      <c r="P2" s="511"/>
      <c r="Q2" s="511"/>
      <c r="R2" s="511"/>
      <c r="S2" s="511"/>
      <c r="T2" s="511"/>
      <c r="U2" s="511"/>
      <c r="V2" s="511"/>
      <c r="W2" s="511"/>
      <c r="X2" s="532"/>
      <c r="Y2" s="532"/>
      <c r="Z2" s="532"/>
      <c r="AA2" s="532"/>
      <c r="AB2" s="532"/>
      <c r="AC2" s="532"/>
      <c r="AD2" s="532"/>
      <c r="AE2" s="532"/>
      <c r="AF2" s="532"/>
      <c r="AG2" s="532"/>
      <c r="AH2" s="532"/>
      <c r="AI2" s="532"/>
      <c r="AJ2" s="532"/>
      <c r="AK2" s="532"/>
      <c r="AL2" s="532"/>
      <c r="AM2" s="532"/>
      <c r="AN2" s="532"/>
    </row>
    <row r="3" spans="1:54" ht="15" thickBot="1">
      <c r="C3" s="476"/>
      <c r="D3" s="476"/>
      <c r="E3" s="476"/>
      <c r="F3" s="512"/>
      <c r="G3" s="512"/>
      <c r="H3" s="511"/>
      <c r="I3" s="511"/>
      <c r="J3" s="511"/>
      <c r="K3" s="511"/>
      <c r="L3" s="511"/>
      <c r="M3" s="511"/>
      <c r="N3" s="511"/>
      <c r="O3" s="511"/>
      <c r="P3" s="511"/>
      <c r="Q3" s="511"/>
      <c r="R3" s="511"/>
      <c r="S3" s="511"/>
      <c r="T3" s="511"/>
      <c r="U3" s="511"/>
      <c r="V3" s="511"/>
      <c r="W3" s="511"/>
      <c r="X3" s="532"/>
      <c r="Y3" s="532"/>
      <c r="Z3" s="532"/>
      <c r="AA3" s="532"/>
      <c r="AB3" s="532"/>
      <c r="AC3" s="532"/>
      <c r="AD3" s="532"/>
      <c r="AE3" s="532"/>
      <c r="AF3" s="532"/>
      <c r="AG3" s="532"/>
      <c r="AH3" s="532"/>
      <c r="AI3" s="532"/>
      <c r="AJ3" s="532"/>
      <c r="AK3" s="532"/>
      <c r="AL3" s="532"/>
      <c r="AM3" s="532"/>
      <c r="AN3" s="532"/>
    </row>
    <row r="4" spans="1:54" s="6" customFormat="1" ht="15" thickBot="1">
      <c r="C4" s="475" t="s">
        <v>6</v>
      </c>
      <c r="D4" s="1605" t="str">
        <f>DNB</f>
        <v>Naam distributienetbeheerder</v>
      </c>
      <c r="E4" s="1619"/>
      <c r="F4" s="478"/>
      <c r="G4" s="475"/>
      <c r="H4" s="475"/>
      <c r="I4" s="474"/>
      <c r="J4" s="474"/>
      <c r="K4" s="474"/>
      <c r="L4" s="474"/>
      <c r="M4" s="474"/>
      <c r="N4" s="474"/>
      <c r="O4" s="474"/>
      <c r="P4" s="474"/>
      <c r="Q4" s="474"/>
      <c r="R4" s="474"/>
      <c r="S4" s="474"/>
      <c r="T4" s="474"/>
      <c r="U4" s="474"/>
      <c r="V4" s="474"/>
      <c r="W4" s="474"/>
      <c r="X4" s="533"/>
      <c r="Y4" s="533"/>
      <c r="Z4" s="533"/>
      <c r="AA4" s="533"/>
      <c r="AB4" s="533"/>
      <c r="AC4" s="533"/>
      <c r="AD4" s="533"/>
      <c r="AE4" s="533"/>
      <c r="AF4" s="533"/>
      <c r="AG4" s="533"/>
      <c r="AH4" s="533"/>
      <c r="AI4" s="534"/>
      <c r="AJ4" s="295"/>
      <c r="AK4" s="295"/>
      <c r="AL4" s="295"/>
      <c r="AM4" s="295"/>
      <c r="AN4" s="295"/>
    </row>
    <row r="5" spans="1:54" s="6" customFormat="1">
      <c r="C5" s="476"/>
      <c r="D5" s="476"/>
      <c r="E5" s="476"/>
      <c r="F5" s="512"/>
      <c r="G5" s="512"/>
      <c r="H5" s="511"/>
      <c r="I5" s="511"/>
      <c r="J5" s="511"/>
      <c r="K5" s="511"/>
      <c r="L5" s="511"/>
      <c r="M5" s="511"/>
      <c r="N5" s="511"/>
      <c r="O5" s="511"/>
      <c r="P5" s="511"/>
      <c r="Q5" s="511"/>
      <c r="R5" s="511"/>
      <c r="S5" s="511"/>
      <c r="T5" s="511"/>
      <c r="U5" s="511"/>
      <c r="V5" s="511"/>
      <c r="W5" s="511"/>
      <c r="X5" s="532"/>
      <c r="Y5" s="532"/>
      <c r="Z5" s="532"/>
      <c r="AA5" s="532"/>
      <c r="AB5" s="532"/>
      <c r="AC5" s="532"/>
      <c r="AD5" s="532"/>
      <c r="AE5" s="532"/>
      <c r="AF5" s="532"/>
      <c r="AG5" s="532"/>
      <c r="AH5" s="532"/>
      <c r="AI5" s="532"/>
      <c r="AJ5" s="532"/>
      <c r="AK5" s="532"/>
      <c r="AL5" s="532"/>
      <c r="AM5" s="532"/>
      <c r="AN5" s="532"/>
      <c r="AO5" s="511"/>
      <c r="AP5" s="511"/>
      <c r="AQ5" s="511"/>
      <c r="AR5" s="511"/>
      <c r="AS5" s="511"/>
      <c r="AT5" s="511"/>
      <c r="AU5" s="511"/>
      <c r="AV5" s="511"/>
      <c r="AW5" s="511"/>
      <c r="AX5" s="511"/>
      <c r="AY5" s="511"/>
      <c r="AZ5" s="511"/>
      <c r="BA5" s="511"/>
      <c r="BB5" s="511"/>
    </row>
    <row r="6" spans="1:54" ht="15" thickBot="1">
      <c r="C6" s="510"/>
      <c r="D6" s="510"/>
      <c r="E6" s="500"/>
      <c r="F6" s="500"/>
      <c r="G6" s="509"/>
      <c r="H6" s="506"/>
      <c r="I6" s="506"/>
      <c r="J6" s="506"/>
      <c r="K6" s="506"/>
      <c r="L6" s="506"/>
      <c r="M6" s="506"/>
      <c r="N6" s="506"/>
      <c r="O6" s="506"/>
      <c r="P6" s="506"/>
      <c r="Q6" s="505"/>
      <c r="R6" s="505"/>
      <c r="S6" s="508"/>
      <c r="T6" s="508"/>
      <c r="U6" s="508"/>
      <c r="V6" s="508"/>
      <c r="W6" s="507"/>
      <c r="X6" s="535"/>
      <c r="Y6" s="535"/>
      <c r="Z6" s="535"/>
      <c r="AA6" s="536"/>
      <c r="AB6" s="536"/>
      <c r="AC6" s="536"/>
      <c r="AD6" s="536"/>
      <c r="AE6" s="536"/>
      <c r="AF6" s="536"/>
      <c r="AG6" s="537"/>
      <c r="AH6" s="537"/>
      <c r="AI6" s="537"/>
      <c r="AJ6" s="537"/>
      <c r="AK6" s="538"/>
      <c r="AL6" s="538"/>
      <c r="AM6" s="538"/>
      <c r="AN6" s="537"/>
    </row>
    <row r="7" spans="1:54">
      <c r="A7" s="1620" t="s">
        <v>125</v>
      </c>
      <c r="B7" s="1621"/>
      <c r="C7" s="1622"/>
      <c r="D7" s="1629" t="s">
        <v>123</v>
      </c>
      <c r="E7" s="1596" t="s">
        <v>384</v>
      </c>
      <c r="F7" s="1597"/>
      <c r="G7" s="1597"/>
      <c r="H7" s="1597"/>
      <c r="I7" s="1597"/>
      <c r="J7" s="1597"/>
      <c r="K7" s="1597"/>
      <c r="L7" s="1598"/>
      <c r="M7" s="1599" t="s">
        <v>383</v>
      </c>
      <c r="N7" s="457"/>
      <c r="O7" s="457"/>
      <c r="P7" s="457"/>
      <c r="Q7" s="457"/>
      <c r="R7" s="504"/>
      <c r="S7" s="504"/>
      <c r="T7" s="504"/>
      <c r="U7" s="504"/>
      <c r="V7" s="504"/>
      <c r="W7" s="504"/>
      <c r="X7" s="539"/>
      <c r="Y7" s="540"/>
      <c r="Z7" s="540"/>
      <c r="AA7" s="540"/>
      <c r="AB7" s="540"/>
      <c r="AC7" s="540"/>
      <c r="AD7" s="540"/>
      <c r="AE7" s="540"/>
      <c r="AF7" s="540"/>
      <c r="AG7" s="540"/>
      <c r="AH7" s="540"/>
      <c r="AI7" s="540"/>
      <c r="AJ7" s="537"/>
      <c r="AK7" s="537"/>
      <c r="AL7" s="538"/>
      <c r="AM7" s="538"/>
      <c r="AN7" s="538"/>
      <c r="AO7" s="457"/>
    </row>
    <row r="8" spans="1:54">
      <c r="A8" s="1623"/>
      <c r="B8" s="1624"/>
      <c r="C8" s="1625"/>
      <c r="D8" s="1630"/>
      <c r="E8" s="1602" t="s">
        <v>394</v>
      </c>
      <c r="F8" s="1603"/>
      <c r="G8" s="1603"/>
      <c r="H8" s="1603"/>
      <c r="I8" s="1603" t="s">
        <v>393</v>
      </c>
      <c r="J8" s="1603"/>
      <c r="K8" s="1603" t="s">
        <v>379</v>
      </c>
      <c r="L8" s="1604"/>
      <c r="M8" s="1600"/>
      <c r="X8" s="538"/>
      <c r="Y8" s="538"/>
      <c r="Z8" s="538"/>
      <c r="AA8" s="538"/>
      <c r="AB8" s="538"/>
      <c r="AC8" s="538"/>
      <c r="AD8" s="538"/>
      <c r="AE8" s="538"/>
      <c r="AF8" s="538"/>
      <c r="AG8" s="538"/>
      <c r="AH8" s="538"/>
      <c r="AI8" s="538"/>
      <c r="AJ8" s="537"/>
      <c r="AK8" s="537"/>
      <c r="AL8" s="538"/>
      <c r="AM8" s="538"/>
      <c r="AN8" s="538"/>
      <c r="AO8" s="500"/>
    </row>
    <row r="9" spans="1:54" ht="15" thickBot="1">
      <c r="A9" s="1626"/>
      <c r="B9" s="1627"/>
      <c r="C9" s="1628"/>
      <c r="D9" s="1631"/>
      <c r="E9" s="503" t="s">
        <v>392</v>
      </c>
      <c r="F9" s="502" t="s">
        <v>391</v>
      </c>
      <c r="G9" s="502" t="s">
        <v>390</v>
      </c>
      <c r="H9" s="502" t="s">
        <v>389</v>
      </c>
      <c r="I9" s="502" t="s">
        <v>388</v>
      </c>
      <c r="J9" s="502" t="s">
        <v>376</v>
      </c>
      <c r="K9" s="502" t="s">
        <v>387</v>
      </c>
      <c r="L9" s="501" t="s">
        <v>386</v>
      </c>
      <c r="M9" s="1601"/>
      <c r="X9" s="538"/>
      <c r="Y9" s="538"/>
      <c r="Z9" s="538"/>
      <c r="AA9" s="538"/>
      <c r="AB9" s="538"/>
      <c r="AC9" s="538"/>
      <c r="AD9" s="538"/>
      <c r="AE9" s="538"/>
      <c r="AF9" s="538"/>
      <c r="AG9" s="538"/>
      <c r="AH9" s="538"/>
      <c r="AI9" s="538"/>
      <c r="AJ9" s="537"/>
      <c r="AK9" s="537"/>
      <c r="AL9" s="538"/>
      <c r="AM9" s="538"/>
      <c r="AN9" s="538"/>
      <c r="AO9" s="457"/>
    </row>
    <row r="10" spans="1:54">
      <c r="A10" s="1613" t="s">
        <v>124</v>
      </c>
      <c r="B10" s="1614"/>
      <c r="C10" s="1615"/>
      <c r="D10" s="565">
        <f t="shared" ref="D10:D16" si="0">SUM($E10:$M10)</f>
        <v>0</v>
      </c>
      <c r="E10" s="1004"/>
      <c r="F10" s="1005"/>
      <c r="G10" s="1005"/>
      <c r="H10" s="1005"/>
      <c r="I10" s="1005"/>
      <c r="J10" s="1005"/>
      <c r="K10" s="1005"/>
      <c r="L10" s="1006"/>
      <c r="M10" s="1007"/>
      <c r="X10" s="538"/>
      <c r="Y10" s="538"/>
      <c r="Z10" s="538"/>
      <c r="AA10" s="538"/>
      <c r="AB10" s="538"/>
      <c r="AC10" s="538"/>
      <c r="AD10" s="538"/>
      <c r="AE10" s="538"/>
      <c r="AF10" s="538"/>
      <c r="AG10" s="538"/>
      <c r="AH10" s="538"/>
      <c r="AI10" s="538"/>
      <c r="AJ10" s="537"/>
      <c r="AK10" s="537"/>
      <c r="AL10" s="538"/>
      <c r="AM10" s="538"/>
      <c r="AN10" s="538"/>
      <c r="AO10" s="500"/>
    </row>
    <row r="11" spans="1:54">
      <c r="A11" s="1607" t="s">
        <v>7</v>
      </c>
      <c r="B11" s="1608"/>
      <c r="C11" s="1609"/>
      <c r="D11" s="565">
        <f t="shared" si="0"/>
        <v>0</v>
      </c>
      <c r="E11" s="1008"/>
      <c r="F11" s="1009"/>
      <c r="G11" s="1009"/>
      <c r="H11" s="1009"/>
      <c r="I11" s="1010"/>
      <c r="J11" s="1010"/>
      <c r="K11" s="1009"/>
      <c r="L11" s="1011"/>
      <c r="M11" s="1012"/>
      <c r="X11" s="538"/>
      <c r="Y11" s="538"/>
      <c r="Z11" s="538"/>
      <c r="AA11" s="538"/>
      <c r="AB11" s="538"/>
      <c r="AC11" s="538"/>
      <c r="AD11" s="538"/>
      <c r="AE11" s="538"/>
      <c r="AF11" s="538"/>
      <c r="AG11" s="538"/>
      <c r="AH11" s="538"/>
      <c r="AI11" s="538"/>
      <c r="AJ11" s="537"/>
      <c r="AK11" s="537"/>
      <c r="AL11" s="538"/>
      <c r="AM11" s="538"/>
      <c r="AN11" s="538"/>
      <c r="AO11" s="457"/>
    </row>
    <row r="12" spans="1:54">
      <c r="A12" s="1607" t="s">
        <v>8</v>
      </c>
      <c r="B12" s="1608"/>
      <c r="C12" s="1609"/>
      <c r="D12" s="565">
        <f t="shared" si="0"/>
        <v>0</v>
      </c>
      <c r="E12" s="1013"/>
      <c r="F12" s="1010"/>
      <c r="G12" s="1010"/>
      <c r="H12" s="1010"/>
      <c r="I12" s="1009"/>
      <c r="J12" s="1009"/>
      <c r="K12" s="1009"/>
      <c r="L12" s="1011"/>
      <c r="M12" s="1014"/>
      <c r="X12" s="538"/>
      <c r="Y12" s="538"/>
      <c r="Z12" s="538"/>
      <c r="AA12" s="538"/>
      <c r="AB12" s="538"/>
      <c r="AC12" s="538"/>
      <c r="AD12" s="538"/>
      <c r="AE12" s="538"/>
      <c r="AF12" s="538"/>
      <c r="AG12" s="538"/>
      <c r="AH12" s="538"/>
      <c r="AI12" s="538"/>
      <c r="AJ12" s="537"/>
      <c r="AK12" s="537"/>
      <c r="AL12" s="538"/>
      <c r="AM12" s="538"/>
      <c r="AN12" s="538"/>
      <c r="AO12" s="500"/>
    </row>
    <row r="13" spans="1:54">
      <c r="A13" s="1616" t="s">
        <v>398</v>
      </c>
      <c r="B13" s="1617"/>
      <c r="C13" s="1618"/>
      <c r="D13" s="565">
        <f t="shared" si="0"/>
        <v>0</v>
      </c>
      <c r="E13" s="1015"/>
      <c r="F13" s="1016"/>
      <c r="G13" s="1016"/>
      <c r="H13" s="1016"/>
      <c r="I13" s="1017"/>
      <c r="J13" s="1017"/>
      <c r="K13" s="1017"/>
      <c r="L13" s="1018"/>
      <c r="M13" s="1019"/>
      <c r="N13" s="457"/>
      <c r="O13" s="457"/>
      <c r="P13" s="457"/>
      <c r="Q13" s="457"/>
      <c r="R13" s="457"/>
      <c r="S13" s="457"/>
      <c r="T13" s="457"/>
      <c r="U13" s="457"/>
      <c r="V13" s="457"/>
      <c r="W13" s="457"/>
      <c r="X13" s="540"/>
      <c r="Y13" s="540"/>
      <c r="Z13" s="540"/>
      <c r="AA13" s="540"/>
      <c r="AB13" s="540"/>
      <c r="AC13" s="540"/>
      <c r="AD13" s="540"/>
      <c r="AE13" s="540"/>
      <c r="AF13" s="538"/>
      <c r="AG13" s="538"/>
      <c r="AH13" s="538"/>
      <c r="AI13" s="540"/>
      <c r="AJ13" s="537"/>
      <c r="AK13" s="537"/>
      <c r="AL13" s="538"/>
      <c r="AM13" s="538"/>
      <c r="AN13" s="538"/>
      <c r="AO13" s="457"/>
    </row>
    <row r="14" spans="1:54" ht="16.5">
      <c r="A14" s="1607" t="s">
        <v>397</v>
      </c>
      <c r="B14" s="1608"/>
      <c r="C14" s="1609"/>
      <c r="D14" s="565">
        <f t="shared" si="0"/>
        <v>0</v>
      </c>
      <c r="E14" s="1013"/>
      <c r="F14" s="1010"/>
      <c r="G14" s="1010"/>
      <c r="H14" s="1010"/>
      <c r="I14" s="1010"/>
      <c r="J14" s="1010"/>
      <c r="K14" s="1010"/>
      <c r="L14" s="1020"/>
      <c r="M14" s="1014"/>
      <c r="X14" s="538"/>
      <c r="Y14" s="538"/>
      <c r="Z14" s="538"/>
      <c r="AA14" s="538"/>
      <c r="AB14" s="538"/>
      <c r="AC14" s="538"/>
      <c r="AD14" s="538"/>
      <c r="AE14" s="538"/>
      <c r="AF14" s="538"/>
      <c r="AG14" s="538"/>
      <c r="AH14" s="538"/>
      <c r="AI14" s="538"/>
      <c r="AJ14" s="537"/>
      <c r="AK14" s="537"/>
      <c r="AL14" s="538"/>
      <c r="AM14" s="538"/>
      <c r="AN14" s="538"/>
      <c r="AO14" s="500"/>
    </row>
    <row r="15" spans="1:54" ht="16.5">
      <c r="A15" s="1607" t="s">
        <v>396</v>
      </c>
      <c r="B15" s="1608"/>
      <c r="C15" s="1609"/>
      <c r="D15" s="565">
        <f t="shared" si="0"/>
        <v>0</v>
      </c>
      <c r="E15" s="1021"/>
      <c r="F15" s="1022"/>
      <c r="G15" s="1022"/>
      <c r="H15" s="1022"/>
      <c r="I15" s="1022"/>
      <c r="J15" s="1022"/>
      <c r="K15" s="1022"/>
      <c r="L15" s="1023"/>
      <c r="M15" s="1024"/>
      <c r="X15" s="538"/>
      <c r="Y15" s="538"/>
      <c r="Z15" s="538"/>
      <c r="AA15" s="538"/>
      <c r="AB15" s="538"/>
      <c r="AC15" s="538"/>
      <c r="AD15" s="538"/>
      <c r="AE15" s="538"/>
      <c r="AF15" s="538"/>
      <c r="AG15" s="538"/>
      <c r="AH15" s="538"/>
      <c r="AI15" s="538"/>
      <c r="AJ15" s="537"/>
      <c r="AK15" s="537"/>
      <c r="AL15" s="538"/>
      <c r="AM15" s="538"/>
      <c r="AN15" s="538"/>
      <c r="AO15" s="500"/>
    </row>
    <row r="16" spans="1:54" ht="17" thickBot="1">
      <c r="A16" s="1610" t="s">
        <v>395</v>
      </c>
      <c r="B16" s="1611"/>
      <c r="C16" s="1612"/>
      <c r="D16" s="566">
        <f t="shared" si="0"/>
        <v>0</v>
      </c>
      <c r="E16" s="1025"/>
      <c r="F16" s="1026"/>
      <c r="G16" s="1026"/>
      <c r="H16" s="1026"/>
      <c r="I16" s="1027"/>
      <c r="J16" s="1027"/>
      <c r="K16" s="1026"/>
      <c r="L16" s="1028"/>
      <c r="M16" s="1029"/>
      <c r="X16" s="538"/>
      <c r="Y16" s="538"/>
      <c r="Z16" s="538"/>
      <c r="AA16" s="538"/>
      <c r="AB16" s="538"/>
      <c r="AC16" s="538"/>
      <c r="AD16" s="538"/>
      <c r="AE16" s="538"/>
      <c r="AF16" s="538"/>
      <c r="AG16" s="538"/>
      <c r="AH16" s="538"/>
      <c r="AI16" s="538"/>
      <c r="AJ16" s="537"/>
      <c r="AK16" s="537"/>
      <c r="AL16" s="538"/>
      <c r="AM16" s="538"/>
      <c r="AN16" s="538"/>
      <c r="AO16" s="457"/>
    </row>
    <row r="17" spans="1:41">
      <c r="X17" s="538"/>
      <c r="Y17" s="538"/>
      <c r="Z17" s="538"/>
      <c r="AA17" s="538"/>
      <c r="AB17" s="538"/>
      <c r="AC17" s="538"/>
      <c r="AD17" s="538"/>
      <c r="AE17" s="538"/>
      <c r="AF17" s="538"/>
      <c r="AG17" s="538"/>
      <c r="AH17" s="538"/>
      <c r="AI17" s="537"/>
      <c r="AJ17" s="537"/>
      <c r="AK17" s="538"/>
      <c r="AL17" s="538"/>
      <c r="AM17" s="538"/>
      <c r="AN17" s="540"/>
    </row>
    <row r="18" spans="1:41">
      <c r="X18" s="538"/>
      <c r="Y18" s="538"/>
      <c r="Z18" s="538"/>
      <c r="AA18" s="538"/>
      <c r="AB18" s="538"/>
      <c r="AC18" s="538"/>
      <c r="AD18" s="538"/>
      <c r="AE18" s="538"/>
      <c r="AF18" s="538"/>
      <c r="AG18" s="538"/>
      <c r="AH18" s="538"/>
      <c r="AI18" s="537"/>
      <c r="AJ18" s="537"/>
      <c r="AK18" s="538"/>
      <c r="AL18" s="538"/>
      <c r="AM18" s="538"/>
      <c r="AN18" s="540"/>
    </row>
    <row r="19" spans="1:41" ht="15" thickBot="1">
      <c r="X19" s="538"/>
      <c r="Y19" s="538"/>
      <c r="Z19" s="538"/>
      <c r="AA19" s="538"/>
      <c r="AB19" s="538"/>
      <c r="AC19" s="538"/>
      <c r="AD19" s="538"/>
      <c r="AE19" s="538"/>
      <c r="AF19" s="538"/>
      <c r="AG19" s="538"/>
      <c r="AH19" s="538"/>
      <c r="AI19" s="537"/>
      <c r="AJ19" s="537"/>
      <c r="AK19" s="538"/>
      <c r="AL19" s="538"/>
      <c r="AM19" s="538"/>
      <c r="AN19" s="540"/>
    </row>
    <row r="20" spans="1:41" ht="15" customHeight="1">
      <c r="A20" s="1587" t="s">
        <v>82</v>
      </c>
      <c r="B20" s="1588"/>
      <c r="C20" s="1589"/>
      <c r="D20" s="1589" t="s">
        <v>11</v>
      </c>
      <c r="E20" s="1596" t="s">
        <v>384</v>
      </c>
      <c r="F20" s="1597"/>
      <c r="G20" s="1597"/>
      <c r="H20" s="1597"/>
      <c r="I20" s="1597"/>
      <c r="J20" s="1597"/>
      <c r="K20" s="1597"/>
      <c r="L20" s="1598"/>
      <c r="M20" s="1599" t="s">
        <v>383</v>
      </c>
      <c r="X20" s="538"/>
      <c r="Y20" s="538"/>
      <c r="Z20" s="538"/>
      <c r="AA20" s="538"/>
      <c r="AB20" s="538"/>
      <c r="AC20" s="538"/>
      <c r="AD20" s="538"/>
      <c r="AE20" s="538"/>
      <c r="AF20" s="538"/>
      <c r="AG20" s="538"/>
      <c r="AH20" s="538"/>
      <c r="AI20" s="538"/>
      <c r="AJ20" s="537"/>
      <c r="AK20" s="537"/>
      <c r="AL20" s="538"/>
      <c r="AM20" s="538"/>
      <c r="AN20" s="538"/>
      <c r="AO20" s="457"/>
    </row>
    <row r="21" spans="1:41">
      <c r="A21" s="1590"/>
      <c r="B21" s="1591"/>
      <c r="C21" s="1592"/>
      <c r="D21" s="1592"/>
      <c r="E21" s="1602" t="s">
        <v>394</v>
      </c>
      <c r="F21" s="1603"/>
      <c r="G21" s="1603"/>
      <c r="H21" s="1603"/>
      <c r="I21" s="1603" t="s">
        <v>393</v>
      </c>
      <c r="J21" s="1603"/>
      <c r="K21" s="1603" t="s">
        <v>379</v>
      </c>
      <c r="L21" s="1604"/>
      <c r="M21" s="1600"/>
      <c r="X21" s="538"/>
      <c r="Y21" s="538"/>
      <c r="Z21" s="538"/>
      <c r="AA21" s="538"/>
      <c r="AB21" s="538"/>
      <c r="AC21" s="538"/>
      <c r="AD21" s="538"/>
      <c r="AE21" s="538"/>
      <c r="AF21" s="538"/>
      <c r="AG21" s="538"/>
      <c r="AH21" s="538"/>
      <c r="AI21" s="538"/>
      <c r="AJ21" s="537"/>
      <c r="AK21" s="537"/>
      <c r="AL21" s="538"/>
      <c r="AM21" s="538"/>
      <c r="AN21" s="538"/>
      <c r="AO21" s="457"/>
    </row>
    <row r="22" spans="1:41" ht="15" thickBot="1">
      <c r="A22" s="1593"/>
      <c r="B22" s="1594"/>
      <c r="C22" s="1595"/>
      <c r="D22" s="1595"/>
      <c r="E22" s="503" t="s">
        <v>392</v>
      </c>
      <c r="F22" s="502" t="s">
        <v>391</v>
      </c>
      <c r="G22" s="502" t="s">
        <v>390</v>
      </c>
      <c r="H22" s="502" t="s">
        <v>389</v>
      </c>
      <c r="I22" s="502" t="s">
        <v>388</v>
      </c>
      <c r="J22" s="502" t="s">
        <v>376</v>
      </c>
      <c r="K22" s="502" t="s">
        <v>387</v>
      </c>
      <c r="L22" s="501" t="s">
        <v>386</v>
      </c>
      <c r="M22" s="1601"/>
      <c r="X22" s="538"/>
      <c r="Y22" s="538"/>
      <c r="Z22" s="538"/>
      <c r="AA22" s="538"/>
      <c r="AB22" s="538"/>
      <c r="AC22" s="538"/>
      <c r="AD22" s="538"/>
      <c r="AE22" s="538"/>
      <c r="AF22" s="538"/>
      <c r="AG22" s="538"/>
      <c r="AH22" s="538"/>
      <c r="AI22" s="538"/>
      <c r="AJ22" s="537"/>
      <c r="AK22" s="537"/>
      <c r="AL22" s="538"/>
      <c r="AM22" s="538"/>
      <c r="AN22" s="538"/>
      <c r="AO22" s="500"/>
    </row>
    <row r="23" spans="1:41">
      <c r="A23" s="499"/>
      <c r="B23" s="498"/>
      <c r="C23" s="498"/>
      <c r="D23" s="560"/>
      <c r="E23" s="541"/>
      <c r="F23" s="542"/>
      <c r="G23" s="542"/>
      <c r="H23" s="542"/>
      <c r="I23" s="542"/>
      <c r="J23" s="542"/>
      <c r="K23" s="542"/>
      <c r="L23" s="543"/>
      <c r="M23" s="544"/>
    </row>
    <row r="24" spans="1:41">
      <c r="A24" s="469" t="s">
        <v>372</v>
      </c>
      <c r="B24" s="468" t="s">
        <v>371</v>
      </c>
      <c r="C24" s="468"/>
      <c r="D24" s="561"/>
      <c r="E24" s="541"/>
      <c r="F24" s="542"/>
      <c r="G24" s="542"/>
      <c r="H24" s="542"/>
      <c r="I24" s="542"/>
      <c r="J24" s="542"/>
      <c r="K24" s="542"/>
      <c r="L24" s="543"/>
      <c r="M24" s="544"/>
    </row>
    <row r="25" spans="1:41">
      <c r="A25" s="467"/>
      <c r="B25" s="465"/>
      <c r="C25" s="465"/>
      <c r="D25" s="561"/>
      <c r="E25" s="541"/>
      <c r="F25" s="542"/>
      <c r="G25" s="542"/>
      <c r="H25" s="542"/>
      <c r="I25" s="542"/>
      <c r="J25" s="542"/>
      <c r="K25" s="542"/>
      <c r="L25" s="543"/>
      <c r="M25" s="544"/>
    </row>
    <row r="26" spans="1:41">
      <c r="A26" s="466"/>
      <c r="B26" s="465" t="s">
        <v>370</v>
      </c>
      <c r="C26" s="465" t="s">
        <v>369</v>
      </c>
      <c r="D26" s="561">
        <f>SUM($E26:$M26)</f>
        <v>0</v>
      </c>
      <c r="E26" s="541">
        <f>'T7'!$E$13*$E$10+'T7'!$E$14*$E$14+'T7'!$E$15*$E$16</f>
        <v>0</v>
      </c>
      <c r="F26" s="542">
        <f>'T7'!F13*$F$10+'T7'!F14*$F$14+'T7'!F15*$F$16</f>
        <v>0</v>
      </c>
      <c r="G26" s="542">
        <f>'T7'!$G$13*$G$10+'T7'!$G$14*$G$14+'T7'!$G$15*$G$16</f>
        <v>0</v>
      </c>
      <c r="H26" s="542">
        <f>'T7'!$H$13*$H$10+'T7'!$H$14*$H$14+'T7'!$H$15*$H$16</f>
        <v>0</v>
      </c>
      <c r="I26" s="542">
        <f>'T7'!$I$13*$I$10+'T7'!$I$14*$I$14+'T7'!$I$15*$I$16</f>
        <v>0</v>
      </c>
      <c r="J26" s="542">
        <f>'T7'!$J$13*$J$10+'T7'!$J$14*$J$14+'T7'!$J$15*$J$16</f>
        <v>0</v>
      </c>
      <c r="K26" s="542">
        <f>'T7'!$K$13*$K$10+'T7'!$K$14*$K$14+'T7'!$K$15*$K$16</f>
        <v>0</v>
      </c>
      <c r="L26" s="543">
        <f>'T7'!$L$13*$L$10+'T7'!$L$14*$L$14+'T7'!$L$15*$L$16</f>
        <v>0</v>
      </c>
      <c r="M26" s="545"/>
    </row>
    <row r="27" spans="1:41">
      <c r="A27" s="467"/>
      <c r="B27" s="465"/>
      <c r="C27" s="465"/>
      <c r="D27" s="560"/>
      <c r="E27" s="541"/>
      <c r="F27" s="542"/>
      <c r="G27" s="542"/>
      <c r="H27" s="542"/>
      <c r="I27" s="542"/>
      <c r="J27" s="542"/>
      <c r="K27" s="542"/>
      <c r="L27" s="543"/>
      <c r="M27" s="544"/>
    </row>
    <row r="28" spans="1:41">
      <c r="A28" s="466"/>
      <c r="B28" s="465" t="s">
        <v>368</v>
      </c>
      <c r="C28" s="465" t="s">
        <v>367</v>
      </c>
      <c r="D28" s="561">
        <f>SUM($E28:$M28)</f>
        <v>0</v>
      </c>
      <c r="E28" s="546"/>
      <c r="F28" s="547"/>
      <c r="G28" s="547"/>
      <c r="H28" s="547"/>
      <c r="I28" s="547"/>
      <c r="J28" s="547"/>
      <c r="K28" s="547"/>
      <c r="L28" s="548"/>
      <c r="M28" s="544">
        <f>'T7'!$M$17*$M$15</f>
        <v>0</v>
      </c>
    </row>
    <row r="29" spans="1:41">
      <c r="A29" s="467"/>
      <c r="B29" s="465"/>
      <c r="C29" s="465"/>
      <c r="D29" s="561"/>
      <c r="E29" s="541"/>
      <c r="F29" s="542"/>
      <c r="G29" s="542"/>
      <c r="H29" s="542"/>
      <c r="I29" s="542"/>
      <c r="J29" s="542"/>
      <c r="K29" s="542"/>
      <c r="L29" s="543"/>
      <c r="M29" s="544"/>
    </row>
    <row r="30" spans="1:41">
      <c r="A30" s="466"/>
      <c r="B30" s="465" t="s">
        <v>366</v>
      </c>
      <c r="C30" s="464" t="s">
        <v>365</v>
      </c>
      <c r="D30" s="561">
        <f>SUM($E30:$M30)</f>
        <v>0</v>
      </c>
      <c r="E30" s="549">
        <f>'T7'!$E$19*$E$11+'T7'!$E$20*$E$12+'T7'!$E$21*$E$13</f>
        <v>0</v>
      </c>
      <c r="F30" s="550">
        <f>'T7'!$F$19*$F$11+'T7'!$F$20*$F$12+'T7'!$F$21*$F$13</f>
        <v>0</v>
      </c>
      <c r="G30" s="550">
        <f>'T7'!$G$19*$G$11+'T7'!$G$20*$G$12+'T7'!$G$21*$G$13</f>
        <v>0</v>
      </c>
      <c r="H30" s="550">
        <f>'T7'!$H$19*$H$11+'T7'!$H$20*$H$12+'T7'!$H$21*$H$13</f>
        <v>0</v>
      </c>
      <c r="I30" s="550">
        <f>'T7'!$I$19*$I$11+'T7'!$I$20*$I$12+'T7'!$I$21*$I$13</f>
        <v>0</v>
      </c>
      <c r="J30" s="550">
        <f>'T7'!$J$19*$J$11+'T7'!$J$20*$J$12+'T7'!$J$21*$J$13</f>
        <v>0</v>
      </c>
      <c r="K30" s="553"/>
      <c r="L30" s="554"/>
      <c r="M30" s="552">
        <f>'T7'!$M$19*$M$11+'T7'!$M$20*$M$12+'T7'!$M$21*$M$13</f>
        <v>0</v>
      </c>
    </row>
    <row r="31" spans="1:41">
      <c r="A31" s="467"/>
      <c r="B31" s="465"/>
      <c r="C31" s="465"/>
      <c r="D31" s="562"/>
      <c r="E31" s="549"/>
      <c r="F31" s="550"/>
      <c r="G31" s="550"/>
      <c r="H31" s="550"/>
      <c r="I31" s="550"/>
      <c r="J31" s="550"/>
      <c r="K31" s="550"/>
      <c r="L31" s="551"/>
      <c r="M31" s="552"/>
    </row>
    <row r="32" spans="1:41">
      <c r="A32" s="469" t="s">
        <v>364</v>
      </c>
      <c r="B32" s="468" t="s">
        <v>363</v>
      </c>
      <c r="C32" s="468"/>
      <c r="D32" s="561">
        <f>SUM($E32:$M32)</f>
        <v>0</v>
      </c>
      <c r="E32" s="549">
        <f>'T7'!$E$23*$E$14</f>
        <v>0</v>
      </c>
      <c r="F32" s="550">
        <f>'T7'!$F$23*$F$14</f>
        <v>0</v>
      </c>
      <c r="G32" s="550">
        <f>'T7'!$G$23*$G$14</f>
        <v>0</v>
      </c>
      <c r="H32" s="553"/>
      <c r="I32" s="553"/>
      <c r="J32" s="553"/>
      <c r="K32" s="553"/>
      <c r="L32" s="554"/>
      <c r="M32" s="555"/>
    </row>
    <row r="33" spans="1:13">
      <c r="A33" s="467"/>
      <c r="B33" s="465"/>
      <c r="C33" s="465"/>
      <c r="D33" s="562"/>
      <c r="E33" s="549"/>
      <c r="F33" s="550"/>
      <c r="G33" s="550"/>
      <c r="H33" s="550"/>
      <c r="I33" s="550"/>
      <c r="J33" s="550"/>
      <c r="K33" s="550"/>
      <c r="L33" s="551"/>
      <c r="M33" s="552"/>
    </row>
    <row r="34" spans="1:13">
      <c r="A34" s="469" t="s">
        <v>362</v>
      </c>
      <c r="B34" s="468" t="s">
        <v>9</v>
      </c>
      <c r="C34" s="468"/>
      <c r="D34" s="562"/>
      <c r="E34" s="549"/>
      <c r="F34" s="550"/>
      <c r="G34" s="550"/>
      <c r="H34" s="550"/>
      <c r="I34" s="550"/>
      <c r="J34" s="550"/>
      <c r="K34" s="550"/>
      <c r="L34" s="551"/>
      <c r="M34" s="552"/>
    </row>
    <row r="35" spans="1:13">
      <c r="A35" s="467"/>
      <c r="B35" s="465"/>
      <c r="C35" s="465"/>
      <c r="D35" s="562"/>
      <c r="E35" s="549"/>
      <c r="F35" s="550"/>
      <c r="G35" s="550"/>
      <c r="H35" s="550"/>
      <c r="I35" s="550"/>
      <c r="J35" s="550"/>
      <c r="K35" s="550"/>
      <c r="L35" s="551"/>
      <c r="M35" s="552"/>
    </row>
    <row r="36" spans="1:13">
      <c r="A36" s="466"/>
      <c r="B36" s="465" t="s">
        <v>361</v>
      </c>
      <c r="C36" s="465" t="s">
        <v>360</v>
      </c>
      <c r="D36" s="561">
        <f>SUM($E36:$M36)</f>
        <v>0</v>
      </c>
      <c r="E36" s="549">
        <f>'T7'!$E$27*$E$14</f>
        <v>0</v>
      </c>
      <c r="F36" s="550">
        <f>'T7'!$F$27*$F$14</f>
        <v>0</v>
      </c>
      <c r="G36" s="550">
        <f>'T7'!$G$27*$G$14</f>
        <v>0</v>
      </c>
      <c r="H36" s="550">
        <f>'T7'!$H$27*$H$14</f>
        <v>0</v>
      </c>
      <c r="I36" s="550">
        <f>'T7'!$I$27*$I$14</f>
        <v>0</v>
      </c>
      <c r="J36" s="550">
        <f>'T7'!$J$27*$J$14</f>
        <v>0</v>
      </c>
      <c r="K36" s="553"/>
      <c r="L36" s="554"/>
      <c r="M36" s="555"/>
    </row>
    <row r="37" spans="1:13">
      <c r="A37" s="466"/>
      <c r="B37" s="465" t="s">
        <v>359</v>
      </c>
      <c r="C37" s="464" t="s">
        <v>358</v>
      </c>
      <c r="D37" s="561">
        <f>SUM($E37:$M37)</f>
        <v>0</v>
      </c>
      <c r="E37" s="549">
        <f>'T7'!$E$28*$E$14</f>
        <v>0</v>
      </c>
      <c r="F37" s="550">
        <f>'T7'!$F$28*$F$14</f>
        <v>0</v>
      </c>
      <c r="G37" s="550">
        <f>'T7'!$G$28*$G$14</f>
        <v>0</v>
      </c>
      <c r="H37" s="550">
        <f>'T7'!$H$28*$H$14</f>
        <v>0</v>
      </c>
      <c r="I37" s="550">
        <f>'T7'!$I$28*$I$14</f>
        <v>0</v>
      </c>
      <c r="J37" s="550">
        <f>'T7'!$J$28*$J$14</f>
        <v>0</v>
      </c>
      <c r="K37" s="553"/>
      <c r="L37" s="554"/>
      <c r="M37" s="555"/>
    </row>
    <row r="38" spans="1:13" ht="15" thickBot="1">
      <c r="A38" s="459"/>
      <c r="B38" s="458"/>
      <c r="C38" s="458"/>
      <c r="D38" s="563"/>
      <c r="E38" s="556"/>
      <c r="F38" s="557"/>
      <c r="G38" s="557"/>
      <c r="H38" s="557"/>
      <c r="I38" s="557"/>
      <c r="J38" s="557"/>
      <c r="K38" s="557"/>
      <c r="L38" s="558"/>
      <c r="M38" s="559"/>
    </row>
    <row r="39" spans="1:13" ht="15" thickBot="1">
      <c r="A39" s="485"/>
      <c r="B39" s="484"/>
      <c r="C39" s="529" t="s">
        <v>11</v>
      </c>
      <c r="D39" s="564">
        <f>SUBTOTAL(109,D$23:D$38)</f>
        <v>0</v>
      </c>
      <c r="E39" s="556">
        <f>SUBTOTAL(109,E$23:E$38)</f>
        <v>0</v>
      </c>
      <c r="F39" s="557">
        <f t="shared" ref="F39:M39" si="1">SUBTOTAL(109,F$23:F$38)</f>
        <v>0</v>
      </c>
      <c r="G39" s="557">
        <f t="shared" si="1"/>
        <v>0</v>
      </c>
      <c r="H39" s="557">
        <f t="shared" si="1"/>
        <v>0</v>
      </c>
      <c r="I39" s="557">
        <f t="shared" si="1"/>
        <v>0</v>
      </c>
      <c r="J39" s="557">
        <f t="shared" si="1"/>
        <v>0</v>
      </c>
      <c r="K39" s="557">
        <f t="shared" si="1"/>
        <v>0</v>
      </c>
      <c r="L39" s="558">
        <f t="shared" si="1"/>
        <v>0</v>
      </c>
      <c r="M39" s="559">
        <f t="shared" si="1"/>
        <v>0</v>
      </c>
    </row>
  </sheetData>
  <sheetProtection algorithmName="SHA-512" hashValue="pUzWe7vUoklZkV88JCoL3YYGG0f5JVjavdUbLVXz0NeXbpdNAewLP+27mhcNTpUc6zm6psCDDbc5yK6UI7DCcA==" saltValue="mJaaaxE2pKx0SHADN/3kmw==" spinCount="100000" sheet="1" objects="1" scenarios="1"/>
  <mergeCells count="23">
    <mergeCell ref="A1:M1"/>
    <mergeCell ref="D4:E4"/>
    <mergeCell ref="A7:C9"/>
    <mergeCell ref="D7:D9"/>
    <mergeCell ref="E7:L7"/>
    <mergeCell ref="M7:M9"/>
    <mergeCell ref="E8:H8"/>
    <mergeCell ref="I8:J8"/>
    <mergeCell ref="K8:L8"/>
    <mergeCell ref="A10:C10"/>
    <mergeCell ref="A11:C11"/>
    <mergeCell ref="A12:C12"/>
    <mergeCell ref="A13:C13"/>
    <mergeCell ref="A14:C14"/>
    <mergeCell ref="M20:M22"/>
    <mergeCell ref="E21:H21"/>
    <mergeCell ref="I21:J21"/>
    <mergeCell ref="K21:L21"/>
    <mergeCell ref="A15:C15"/>
    <mergeCell ref="A16:C16"/>
    <mergeCell ref="A20:C22"/>
    <mergeCell ref="D20:D22"/>
    <mergeCell ref="E20:L20"/>
  </mergeCells>
  <pageMargins left="0.70866141732283472" right="0.70866141732283472" top="0.74803149606299213" bottom="0.74803149606299213" header="0.31496062992125984" footer="0.31496062992125984"/>
  <pageSetup paperSize="8" scale="35" orientation="landscape" r:id="rId1"/>
  <colBreaks count="1" manualBreakCount="1">
    <brk id="2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72-73B6-45A8-A2D2-6A0B6F3399FE}">
  <sheetPr published="0">
    <tabColor rgb="FFD8E4BC"/>
  </sheetPr>
  <dimension ref="A1"/>
  <sheetViews>
    <sheetView workbookViewId="0"/>
  </sheetViews>
  <sheetFormatPr defaultRowHeight="14.5"/>
  <sheetData/>
  <sheetProtection algorithmName="SHA-512" hashValue="nADPpTREfrhoMyJAvd/L0RsSTKNm4MwieRe4PxeF/TLZukCqiX4uw4GG0shIZyE4gbQIU/b/vMUCZ5d9zweBaA==" saltValue="n5bsaJg1Ivn3mkOytVbrx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6AED-5543-44C2-B6A4-39BBE66531CF}">
  <sheetPr published="0">
    <pageSetUpPr fitToPage="1"/>
  </sheetPr>
  <dimension ref="A1:Q63"/>
  <sheetViews>
    <sheetView showGridLines="0" zoomScaleNormal="100" zoomScaleSheetLayoutView="70" workbookViewId="0">
      <selection activeCell="A2" sqref="A2"/>
    </sheetView>
  </sheetViews>
  <sheetFormatPr defaultColWidth="9.1796875" defaultRowHeight="14.5"/>
  <cols>
    <col min="1" max="1" width="3.81640625" style="1030" bestFit="1" customWidth="1"/>
    <col min="2" max="2" width="91" style="1035" customWidth="1"/>
    <col min="3" max="3" width="1.54296875" style="1" customWidth="1"/>
    <col min="4" max="4" width="16" style="1036" customWidth="1"/>
    <col min="5" max="5" width="1.54296875" style="1" customWidth="1"/>
    <col min="6" max="6" width="15.54296875" style="1" customWidth="1"/>
    <col min="7" max="7" width="1.54296875" style="1" customWidth="1"/>
    <col min="8" max="9" width="15.54296875" style="60" customWidth="1"/>
    <col min="10" max="10" width="1.54296875" style="1" customWidth="1"/>
    <col min="11" max="11" width="15.54296875" style="1" customWidth="1"/>
    <col min="12" max="12" width="1.54296875" style="1" customWidth="1"/>
    <col min="13" max="13" width="15.54296875" style="1" customWidth="1"/>
    <col min="14" max="14" width="1.54296875" style="1" customWidth="1"/>
    <col min="15" max="17" width="15.54296875" style="1" customWidth="1"/>
    <col min="18" max="18" width="9.1796875" style="1" customWidth="1"/>
    <col min="19" max="16384" width="9.1796875" style="1"/>
  </cols>
  <sheetData>
    <row r="1" spans="1:17" ht="16" thickBot="1">
      <c r="A1" s="1632" t="str">
        <f>DNB&amp;" - ELEKTRICITEIT - Tarieflijst periodieke distributienettarieven "&amp;JAAR&amp;" - Afname"</f>
        <v>Naam distributienetbeheerder - ELEKTRICITEIT - Tarieflijst periodieke distributienettarieven 2022 - Afname</v>
      </c>
      <c r="B1" s="1633"/>
      <c r="C1" s="1633"/>
      <c r="D1" s="1633"/>
      <c r="E1" s="1633"/>
      <c r="F1" s="1633"/>
      <c r="G1" s="1633"/>
      <c r="H1" s="1633"/>
      <c r="I1" s="1633"/>
      <c r="J1" s="1633"/>
      <c r="K1" s="1633"/>
      <c r="L1" s="1633"/>
      <c r="M1" s="1633"/>
      <c r="N1" s="1633"/>
      <c r="O1" s="1633"/>
      <c r="P1" s="1633"/>
      <c r="Q1" s="1634"/>
    </row>
    <row r="2" spans="1:17">
      <c r="B2" s="1031"/>
      <c r="D2" s="1032"/>
      <c r="E2" s="1033"/>
      <c r="F2" s="1034"/>
    </row>
    <row r="3" spans="1:17" ht="15" thickBot="1"/>
    <row r="4" spans="1:17" ht="15" thickBot="1">
      <c r="F4" s="1037" t="s">
        <v>483</v>
      </c>
      <c r="G4" s="136"/>
      <c r="H4" s="1635" t="s">
        <v>482</v>
      </c>
      <c r="I4" s="1636"/>
      <c r="J4" s="136"/>
      <c r="K4" s="1037" t="s">
        <v>481</v>
      </c>
      <c r="L4" s="136"/>
      <c r="M4" s="1263" t="s">
        <v>480</v>
      </c>
      <c r="N4" s="136"/>
      <c r="O4" s="1637" t="s">
        <v>452</v>
      </c>
      <c r="P4" s="1638"/>
      <c r="Q4" s="1639"/>
    </row>
    <row r="5" spans="1:17" ht="58.5" thickBot="1">
      <c r="F5" s="1038"/>
      <c r="H5" s="1039" t="s">
        <v>426</v>
      </c>
      <c r="I5" s="1040" t="s">
        <v>479</v>
      </c>
      <c r="K5" s="1038"/>
      <c r="M5" s="1264" t="s">
        <v>478</v>
      </c>
      <c r="O5" s="1041" t="s">
        <v>478</v>
      </c>
      <c r="P5" s="1042" t="s">
        <v>477</v>
      </c>
      <c r="Q5" s="1043" t="s">
        <v>476</v>
      </c>
    </row>
    <row r="6" spans="1:17">
      <c r="A6" s="1044">
        <v>1</v>
      </c>
      <c r="B6" s="1045" t="s">
        <v>420</v>
      </c>
      <c r="C6" s="1046"/>
      <c r="D6" s="1047"/>
      <c r="E6" s="1048"/>
      <c r="F6" s="1049"/>
      <c r="G6" s="1050"/>
      <c r="H6" s="1051"/>
      <c r="I6" s="1052"/>
      <c r="J6" s="1050"/>
      <c r="K6" s="1049"/>
      <c r="L6" s="1050"/>
      <c r="M6" s="1049"/>
      <c r="N6" s="1050"/>
      <c r="O6" s="1051"/>
      <c r="P6" s="1053"/>
      <c r="Q6" s="1054"/>
    </row>
    <row r="7" spans="1:17">
      <c r="A7" s="1055" t="s">
        <v>419</v>
      </c>
      <c r="B7" s="1642" t="s">
        <v>475</v>
      </c>
      <c r="C7" s="1642"/>
      <c r="D7" s="1643"/>
      <c r="E7" s="1056"/>
      <c r="F7" s="1057"/>
      <c r="G7" s="1058"/>
      <c r="H7" s="1059"/>
      <c r="I7" s="1060"/>
      <c r="J7" s="1058"/>
      <c r="K7" s="1057"/>
      <c r="L7" s="1058"/>
      <c r="M7" s="1057"/>
      <c r="N7" s="1058"/>
      <c r="O7" s="1059"/>
      <c r="P7" s="1061"/>
      <c r="Q7" s="1062"/>
    </row>
    <row r="8" spans="1:17">
      <c r="A8" s="1055"/>
      <c r="B8" s="591" t="s">
        <v>474</v>
      </c>
      <c r="D8" s="1063" t="s">
        <v>582</v>
      </c>
      <c r="F8" s="1064" t="e">
        <f>ROUND(F$9/12,7)</f>
        <v>#DIV/0!</v>
      </c>
      <c r="G8" s="517"/>
      <c r="H8" s="1065" t="e">
        <f>ROUND(H$9/12,7)</f>
        <v>#DIV/0!</v>
      </c>
      <c r="I8" s="1066" t="e">
        <f>ROUND(I$9/12,7)</f>
        <v>#VALUE!</v>
      </c>
      <c r="J8" s="517"/>
      <c r="K8" s="1067" t="e">
        <f>ROUND(K$9/12,7)</f>
        <v>#VALUE!</v>
      </c>
      <c r="L8" s="517"/>
      <c r="M8" s="1067" t="e">
        <f>ROUND(M$9/12,7)</f>
        <v>#VALUE!</v>
      </c>
      <c r="N8" s="517"/>
      <c r="O8" s="518"/>
      <c r="P8" s="515"/>
      <c r="Q8" s="516"/>
    </row>
    <row r="9" spans="1:17">
      <c r="A9" s="1055"/>
      <c r="B9" s="1273" t="s">
        <v>583</v>
      </c>
      <c r="D9" s="1268" t="s">
        <v>417</v>
      </c>
      <c r="F9" s="1269" t="e">
        <f>ROUND(INDEX(Tabel4B[Afnameklanten op TRHS],1),7)</f>
        <v>#DIV/0!</v>
      </c>
      <c r="G9" s="517"/>
      <c r="H9" s="1270" t="e">
        <f>ROUND(INDEX(Tabel4B[Afnameklanten op &gt;26-36 kV met AV ≥ 5MVA],1),7)</f>
        <v>#DIV/0!</v>
      </c>
      <c r="I9" s="1271" t="e">
        <f>ROUND(INDEX(Tabel4B[Afnameklanten op &gt;26-36 kV met AV &lt; 5MVA],1),7)</f>
        <v>#VALUE!</v>
      </c>
      <c r="J9" s="517"/>
      <c r="K9" s="1272" t="e">
        <f>ROUND(INDEX(Tabel4B[Afnameklanten op 26-1kV],1),7)</f>
        <v>#VALUE!</v>
      </c>
      <c r="L9" s="517"/>
      <c r="M9" s="1272" t="e">
        <f>ROUND(INDEX(Tabel4B[Afnameklanten op TRLS],1),7)</f>
        <v>#VALUE!</v>
      </c>
      <c r="N9" s="517"/>
      <c r="O9" s="518"/>
      <c r="P9" s="515"/>
      <c r="Q9" s="516"/>
    </row>
    <row r="10" spans="1:17">
      <c r="A10" s="1055"/>
      <c r="B10" s="591" t="s">
        <v>473</v>
      </c>
      <c r="D10" s="1063" t="s">
        <v>412</v>
      </c>
      <c r="F10" s="1064" t="e">
        <f>ROUND(INDEX(Tabel4B[Afnameklanten op TRHS],2),7)</f>
        <v>#DIV/0!</v>
      </c>
      <c r="G10" s="517"/>
      <c r="H10" s="1065" t="e">
        <f>ROUND(INDEX(Tabel4B[Afnameklanten op &gt;26-36 kV met AV ≥ 5MVA],2),7)</f>
        <v>#DIV/0!</v>
      </c>
      <c r="I10" s="1066" t="e">
        <f>ROUND(INDEX(Tabel4B[Afnameklanten op &gt;26-36 kV met AV &lt; 5MVA],2),7)</f>
        <v>#VALUE!</v>
      </c>
      <c r="J10" s="517"/>
      <c r="K10" s="1067" t="e">
        <f>ROUND(INDEX(Tabel4B[Afnameklanten op 26-1kV],2),7)</f>
        <v>#VALUE!</v>
      </c>
      <c r="L10" s="517"/>
      <c r="M10" s="1067" t="e">
        <f>ROUND(INDEX(Tabel4B[Afnameklanten op TRLS],2),7)</f>
        <v>#VALUE!</v>
      </c>
      <c r="N10" s="517"/>
      <c r="O10" s="518"/>
      <c r="P10" s="515"/>
      <c r="Q10" s="516"/>
    </row>
    <row r="11" spans="1:17">
      <c r="A11" s="1055"/>
      <c r="B11" s="593" t="s">
        <v>472</v>
      </c>
      <c r="D11" s="1063" t="s">
        <v>412</v>
      </c>
      <c r="F11" s="1064" t="e">
        <f>ROUND(INDEX(Tabel4B[Afnameklanten op TRHS],3),7)</f>
        <v>#DIV/0!</v>
      </c>
      <c r="G11" s="517"/>
      <c r="H11" s="1065" t="e">
        <f>ROUND(INDEX(Tabel4B[Afnameklanten op &gt;26-36 kV met AV ≥ 5MVA],3),7)</f>
        <v>#DIV/0!</v>
      </c>
      <c r="I11" s="1066" t="e">
        <f>ROUND(INDEX(Tabel4B[Afnameklanten op &gt;26-36 kV met AV &lt; 5MVA],3),7)</f>
        <v>#VALUE!</v>
      </c>
      <c r="J11" s="517"/>
      <c r="K11" s="1067" t="e">
        <f>ROUND(INDEX(Tabel4B[Afnameklanten op 26-1kV],3),7)</f>
        <v>#VALUE!</v>
      </c>
      <c r="L11" s="517"/>
      <c r="M11" s="1067" t="e">
        <f>ROUND(INDEX(Tabel4B[Afnameklanten op TRLS],3),7)</f>
        <v>#VALUE!</v>
      </c>
      <c r="N11" s="517"/>
      <c r="O11" s="518"/>
      <c r="P11" s="515"/>
      <c r="Q11" s="516"/>
    </row>
    <row r="12" spans="1:17">
      <c r="A12" s="1055" t="s">
        <v>416</v>
      </c>
      <c r="B12" s="1642" t="s">
        <v>471</v>
      </c>
      <c r="C12" s="1642"/>
      <c r="D12" s="1643"/>
      <c r="E12" s="1056"/>
      <c r="F12" s="1064"/>
      <c r="G12" s="517"/>
      <c r="H12" s="1065"/>
      <c r="I12" s="1066"/>
      <c r="J12" s="517"/>
      <c r="K12" s="1067"/>
      <c r="L12" s="517"/>
      <c r="M12" s="1067"/>
      <c r="N12" s="517"/>
      <c r="O12" s="1068"/>
      <c r="P12" s="1069"/>
      <c r="Q12" s="1070"/>
    </row>
    <row r="13" spans="1:17">
      <c r="A13" s="1055"/>
      <c r="B13" s="593" t="s">
        <v>470</v>
      </c>
      <c r="D13" s="1063" t="s">
        <v>435</v>
      </c>
      <c r="F13" s="519"/>
      <c r="G13" s="517"/>
      <c r="H13" s="518"/>
      <c r="I13" s="520"/>
      <c r="J13" s="517"/>
      <c r="K13" s="519"/>
      <c r="L13" s="517"/>
      <c r="M13" s="519"/>
      <c r="N13" s="517"/>
      <c r="O13" s="1068" t="e">
        <f>ROUND(INDEX(Tabel4B[Afnameklanten op LS met piekmeting],4),7)</f>
        <v>#DIV/0!</v>
      </c>
      <c r="P13" s="515"/>
      <c r="Q13" s="516"/>
    </row>
    <row r="14" spans="1:17">
      <c r="A14" s="1055"/>
      <c r="B14" s="1273" t="s">
        <v>583</v>
      </c>
      <c r="D14" s="1268" t="s">
        <v>412</v>
      </c>
      <c r="F14" s="519"/>
      <c r="G14" s="517"/>
      <c r="H14" s="518"/>
      <c r="I14" s="520"/>
      <c r="J14" s="517"/>
      <c r="K14" s="519"/>
      <c r="L14" s="517"/>
      <c r="M14" s="519"/>
      <c r="N14" s="517"/>
      <c r="O14" s="1274" t="e">
        <f>ROUND(O$13/12,7)</f>
        <v>#DIV/0!</v>
      </c>
      <c r="P14" s="515"/>
      <c r="Q14" s="516"/>
    </row>
    <row r="15" spans="1:17">
      <c r="A15" s="1055"/>
      <c r="B15" s="1071" t="s">
        <v>433</v>
      </c>
      <c r="D15" s="1063" t="s">
        <v>399</v>
      </c>
      <c r="F15" s="519"/>
      <c r="G15" s="517"/>
      <c r="H15" s="518"/>
      <c r="I15" s="520"/>
      <c r="J15" s="517"/>
      <c r="K15" s="519"/>
      <c r="L15" s="517"/>
      <c r="M15" s="519"/>
      <c r="N15" s="517"/>
      <c r="O15" s="1068" t="e">
        <f>ROUND(INDEX(Tabel4B[Afnameklanten op LS met piekmeting],6),7)</f>
        <v>#DIV/0!</v>
      </c>
      <c r="P15" s="515"/>
      <c r="Q15" s="516"/>
    </row>
    <row r="16" spans="1:17">
      <c r="A16" s="1055" t="s">
        <v>414</v>
      </c>
      <c r="B16" s="1642" t="s">
        <v>575</v>
      </c>
      <c r="C16" s="1642"/>
      <c r="D16" s="1643"/>
      <c r="E16" s="1056"/>
      <c r="F16" s="1064"/>
      <c r="G16" s="517"/>
      <c r="H16" s="1065"/>
      <c r="I16" s="1066"/>
      <c r="J16" s="517"/>
      <c r="K16" s="1067"/>
      <c r="L16" s="517"/>
      <c r="M16" s="1067"/>
      <c r="N16" s="517"/>
      <c r="O16" s="1068"/>
      <c r="P16" s="1069"/>
      <c r="Q16" s="1070"/>
    </row>
    <row r="17" spans="1:17">
      <c r="A17" s="1055"/>
      <c r="B17" s="593" t="s">
        <v>469</v>
      </c>
      <c r="D17" s="1072" t="s">
        <v>447</v>
      </c>
      <c r="F17" s="521"/>
      <c r="G17" s="522"/>
      <c r="H17" s="523"/>
      <c r="I17" s="524"/>
      <c r="J17" s="522"/>
      <c r="K17" s="521"/>
      <c r="L17" s="522"/>
      <c r="M17" s="521"/>
      <c r="N17" s="522"/>
      <c r="O17" s="523"/>
      <c r="P17" s="1073" t="e">
        <f>ROUND(INDEX(Tabel4B[Afnameklanten op LS met klassieke meter],5),2)</f>
        <v>#DIV/0!</v>
      </c>
      <c r="Q17" s="1085" t="e">
        <f>ROUND(INDEX(Tabel4B[Afnameklanten op LS met klassieke meter],5),2)</f>
        <v>#DIV/0!</v>
      </c>
    </row>
    <row r="18" spans="1:17">
      <c r="A18" s="1055"/>
      <c r="B18" s="591" t="s">
        <v>433</v>
      </c>
      <c r="D18" s="1072" t="s">
        <v>399</v>
      </c>
      <c r="F18" s="519"/>
      <c r="G18" s="517"/>
      <c r="H18" s="518"/>
      <c r="I18" s="520"/>
      <c r="J18" s="517"/>
      <c r="K18" s="519"/>
      <c r="L18" s="517"/>
      <c r="M18" s="519"/>
      <c r="N18" s="517"/>
      <c r="O18" s="518"/>
      <c r="P18" s="1069" t="e">
        <f>ROUND(INDEX(Tabel4B[Afnameklanten op LS met klassieke meter],6),7)</f>
        <v>#DIV/0!</v>
      </c>
      <c r="Q18" s="1070" t="e">
        <f>ROUND(INDEX(Tabel4B[Afnameklanten op LS met klassieke meter],6),7)</f>
        <v>#DIV/0!</v>
      </c>
    </row>
    <row r="19" spans="1:17">
      <c r="A19" s="1055"/>
      <c r="B19" s="1640"/>
      <c r="C19" s="1640"/>
      <c r="D19" s="1641"/>
      <c r="F19" s="1067"/>
      <c r="G19" s="517"/>
      <c r="H19" s="1068"/>
      <c r="I19" s="1077"/>
      <c r="J19" s="517"/>
      <c r="K19" s="1067"/>
      <c r="L19" s="517"/>
      <c r="M19" s="1067"/>
      <c r="N19" s="517"/>
      <c r="O19" s="1068"/>
      <c r="P19" s="1069"/>
      <c r="Q19" s="1070"/>
    </row>
    <row r="20" spans="1:17">
      <c r="A20" s="1055">
        <v>2</v>
      </c>
      <c r="B20" s="1078" t="s">
        <v>468</v>
      </c>
      <c r="C20" s="1078"/>
      <c r="D20" s="1079"/>
      <c r="F20" s="1067"/>
      <c r="G20" s="517"/>
      <c r="H20" s="1068"/>
      <c r="I20" s="1077"/>
      <c r="J20" s="517"/>
      <c r="K20" s="1067"/>
      <c r="L20" s="517"/>
      <c r="M20" s="1067"/>
      <c r="N20" s="517"/>
      <c r="O20" s="1068"/>
      <c r="P20" s="1069"/>
      <c r="Q20" s="1070"/>
    </row>
    <row r="21" spans="1:17">
      <c r="A21" s="1055"/>
      <c r="B21" s="591" t="s">
        <v>467</v>
      </c>
      <c r="D21" s="1063"/>
      <c r="F21" s="1300"/>
      <c r="G21" s="517"/>
      <c r="H21" s="1301"/>
      <c r="I21" s="1302"/>
      <c r="J21" s="517"/>
      <c r="K21" s="1300"/>
      <c r="L21" s="517"/>
      <c r="M21" s="1300"/>
      <c r="N21" s="517"/>
      <c r="O21" s="518"/>
      <c r="P21" s="515"/>
      <c r="Q21" s="516"/>
    </row>
    <row r="22" spans="1:17">
      <c r="A22" s="1055"/>
      <c r="B22" s="593" t="s">
        <v>466</v>
      </c>
      <c r="D22" s="1063" t="s">
        <v>408</v>
      </c>
      <c r="F22" s="1067" t="e">
        <f>ROUND(INDEX(Tabel4B[Afnameklanten op TRHS],8),7)</f>
        <v>#VALUE!</v>
      </c>
      <c r="G22" s="517"/>
      <c r="H22" s="1065" t="e">
        <f>ROUND(INDEX(Tabel4B[Afnameklanten op &gt;26-36 kV met AV ≥ 5MVA],8),7)</f>
        <v>#VALUE!</v>
      </c>
      <c r="I22" s="1066" t="e">
        <f>ROUND(INDEX(Tabel4B[Afnameklanten op &gt;26-36 kV met AV &lt; 5MVA],8),7)</f>
        <v>#VALUE!</v>
      </c>
      <c r="J22" s="517"/>
      <c r="K22" s="1067" t="e">
        <f>ROUND(INDEX(Tabel4B[Afnameklanten op 26-1kV],8),7)</f>
        <v>#VALUE!</v>
      </c>
      <c r="L22" s="517"/>
      <c r="M22" s="1067" t="e">
        <f>ROUND(INDEX(Tabel4B[Afnameklanten op TRLS],8),7)</f>
        <v>#VALUE!</v>
      </c>
      <c r="N22" s="517"/>
      <c r="O22" s="518"/>
      <c r="P22" s="515"/>
      <c r="Q22" s="516"/>
    </row>
    <row r="23" spans="1:17">
      <c r="A23" s="1055"/>
      <c r="D23" s="1063"/>
      <c r="F23" s="1067"/>
      <c r="G23" s="517"/>
      <c r="H23" s="1065"/>
      <c r="I23" s="1066"/>
      <c r="J23" s="517"/>
      <c r="K23" s="1067"/>
      <c r="L23" s="517"/>
      <c r="M23" s="1067"/>
      <c r="N23" s="517"/>
      <c r="O23" s="1068"/>
      <c r="P23" s="1069"/>
      <c r="Q23" s="1070"/>
    </row>
    <row r="24" spans="1:17">
      <c r="A24" s="1055">
        <v>3</v>
      </c>
      <c r="B24" s="1031" t="s">
        <v>465</v>
      </c>
      <c r="D24" s="1063"/>
      <c r="F24" s="1067"/>
      <c r="G24" s="517"/>
      <c r="H24" s="1065"/>
      <c r="I24" s="1066"/>
      <c r="J24" s="517"/>
      <c r="K24" s="1067"/>
      <c r="L24" s="517"/>
      <c r="M24" s="1067"/>
      <c r="N24" s="517"/>
      <c r="O24" s="1068"/>
      <c r="P24" s="1069"/>
      <c r="Q24" s="1070"/>
    </row>
    <row r="25" spans="1:17">
      <c r="A25" s="1080"/>
      <c r="B25" s="591" t="s">
        <v>565</v>
      </c>
      <c r="D25" s="1063" t="s">
        <v>406</v>
      </c>
      <c r="F25" s="1081" t="e">
        <f>ROUND(INDEX(Tabel4B[Afnameklanten op TRHS],9),2)</f>
        <v>#DIV/0!</v>
      </c>
      <c r="G25" s="522"/>
      <c r="H25" s="1082" t="e">
        <f>ROUND(INDEX(Tabel4B[Afnameklanten op &gt;26-36 kV met AV ≥ 5MVA],9),2)</f>
        <v>#DIV/0!</v>
      </c>
      <c r="I25" s="1083" t="e">
        <f>ROUND(INDEX(Tabel4B[Afnameklanten op &gt;26-36 kV met AV &lt; 5MVA],9),2)</f>
        <v>#DIV/0!</v>
      </c>
      <c r="J25" s="522"/>
      <c r="K25" s="1081" t="e">
        <f>ROUND(INDEX(Tabel4B[Afnameklanten op 26-1kV],9),2)</f>
        <v>#DIV/0!</v>
      </c>
      <c r="L25" s="522"/>
      <c r="M25" s="1081" t="e">
        <f>ROUND(INDEX(Tabel4B[Afnameklanten op TRLS],9),2)</f>
        <v>#DIV/0!</v>
      </c>
      <c r="N25" s="522"/>
      <c r="O25" s="1084" t="e">
        <f>ROUND(INDEX(Tabel4B[Afnameklanten op LS met piekmeting],9),2)</f>
        <v>#DIV/0!</v>
      </c>
      <c r="P25" s="525"/>
      <c r="Q25" s="526"/>
    </row>
    <row r="26" spans="1:17">
      <c r="A26" s="1080"/>
      <c r="B26" s="591" t="s">
        <v>566</v>
      </c>
      <c r="D26" s="1063" t="s">
        <v>406</v>
      </c>
      <c r="F26" s="521"/>
      <c r="G26" s="522"/>
      <c r="H26" s="523"/>
      <c r="I26" s="524"/>
      <c r="J26" s="522"/>
      <c r="K26" s="521"/>
      <c r="L26" s="522"/>
      <c r="M26" s="521"/>
      <c r="N26" s="522"/>
      <c r="O26" s="1084" t="e">
        <f>ROUND(INDEX(Tabel4B[Afnameklanten op LS met piekmeting],12),2)</f>
        <v>#DIV/0!</v>
      </c>
      <c r="P26" s="525"/>
      <c r="Q26" s="526"/>
    </row>
    <row r="27" spans="1:17">
      <c r="A27" s="1080"/>
      <c r="B27" s="591" t="s">
        <v>567</v>
      </c>
      <c r="D27" s="1063" t="s">
        <v>406</v>
      </c>
      <c r="F27" s="521"/>
      <c r="G27" s="522"/>
      <c r="H27" s="523"/>
      <c r="I27" s="524"/>
      <c r="J27" s="522"/>
      <c r="K27" s="521"/>
      <c r="L27" s="522"/>
      <c r="M27" s="521"/>
      <c r="N27" s="522"/>
      <c r="O27" s="1084" t="e">
        <f>ROUND(INDEX(Tabel4B[Afnameklanten op LS met piekmeting],11),2)</f>
        <v>#DIV/0!</v>
      </c>
      <c r="P27" s="1073" t="e">
        <f>ROUND(INDEX(Tabel4B[Afnameklanten op LS met klassieke meter],13),2)</f>
        <v>#DIV/0!</v>
      </c>
      <c r="Q27" s="1085" t="e">
        <f>ROUND(INDEX(Tabel4B[Afnameklanten op LS met klassieke meter],13),2)</f>
        <v>#DIV/0!</v>
      </c>
    </row>
    <row r="28" spans="1:17">
      <c r="A28" s="1055"/>
      <c r="D28" s="1063"/>
      <c r="F28" s="1067"/>
      <c r="G28" s="517"/>
      <c r="H28" s="1065"/>
      <c r="I28" s="1066"/>
      <c r="J28" s="517"/>
      <c r="K28" s="1067"/>
      <c r="L28" s="517"/>
      <c r="M28" s="1067"/>
      <c r="N28" s="517"/>
      <c r="O28" s="1068"/>
      <c r="P28" s="1069"/>
      <c r="Q28" s="1070"/>
    </row>
    <row r="29" spans="1:17">
      <c r="A29" s="1055">
        <v>4</v>
      </c>
      <c r="B29" s="1031" t="s">
        <v>464</v>
      </c>
      <c r="D29" s="1063"/>
      <c r="F29" s="1067"/>
      <c r="G29" s="517"/>
      <c r="H29" s="1065"/>
      <c r="I29" s="1066"/>
      <c r="J29" s="517"/>
      <c r="K29" s="1067"/>
      <c r="L29" s="517"/>
      <c r="M29" s="1067"/>
      <c r="N29" s="517"/>
      <c r="O29" s="1068"/>
      <c r="P29" s="1069"/>
      <c r="Q29" s="1070"/>
    </row>
    <row r="30" spans="1:17">
      <c r="A30" s="1055"/>
      <c r="B30" s="1035" t="s">
        <v>463</v>
      </c>
      <c r="D30" s="1063" t="s">
        <v>399</v>
      </c>
      <c r="F30" s="1064" t="e">
        <f>ROUND(INDEX(Tabel4B[Afnameklanten op TRHS],15),7)</f>
        <v>#VALUE!</v>
      </c>
      <c r="G30" s="517"/>
      <c r="H30" s="1065" t="e">
        <f>ROUND(INDEX(Tabel4B[Afnameklanten op &gt;26-36 kV met AV ≥ 5MVA],15),7)</f>
        <v>#VALUE!</v>
      </c>
      <c r="I30" s="1066" t="e">
        <f>ROUND(INDEX(Tabel4B[Afnameklanten op &gt;26-36 kV met AV &lt; 5MVA],15),7)</f>
        <v>#VALUE!</v>
      </c>
      <c r="J30" s="517"/>
      <c r="K30" s="1067" t="e">
        <f>ROUND(INDEX(Tabel4B[Afnameklanten op 26-1kV],15),7)</f>
        <v>#VALUE!</v>
      </c>
      <c r="L30" s="517"/>
      <c r="M30" s="1067" t="e">
        <f>ROUND(INDEX(Tabel4B[Afnameklanten op TRLS],15),7)</f>
        <v>#VALUE!</v>
      </c>
      <c r="N30" s="517"/>
      <c r="O30" s="1068" t="e">
        <f>ROUND(INDEX(Tabel4B[Afnameklanten op LS met piekmeting],15),7)</f>
        <v>#VALUE!</v>
      </c>
      <c r="P30" s="1069" t="e">
        <f>ROUND(INDEX(Tabel4B[Afnameklanten op LS met klassieke meter],15),7)</f>
        <v>#VALUE!</v>
      </c>
      <c r="Q30" s="1070" t="e">
        <f>ROUND(INDEX(Tabel4B[Afnameklanten op LS met klassieke meter],15),7)</f>
        <v>#VALUE!</v>
      </c>
    </row>
    <row r="31" spans="1:17">
      <c r="A31" s="1055"/>
      <c r="B31" s="1035" t="s">
        <v>432</v>
      </c>
      <c r="D31" s="1063" t="s">
        <v>399</v>
      </c>
      <c r="F31" s="519"/>
      <c r="G31" s="517"/>
      <c r="H31" s="518"/>
      <c r="I31" s="520"/>
      <c r="J31" s="517"/>
      <c r="K31" s="519"/>
      <c r="L31" s="517"/>
      <c r="M31" s="1067" t="e">
        <f>ROUND(INDEX(Tabel4B[Afnameklanten op TRLS],16),7)</f>
        <v>#VALUE!</v>
      </c>
      <c r="N31" s="517"/>
      <c r="O31" s="1068" t="e">
        <f>ROUND(INDEX(Tabel4B[Afnameklanten op LS met piekmeting],16),7)</f>
        <v>#VALUE!</v>
      </c>
      <c r="P31" s="1069" t="e">
        <f>ROUND(INDEX(Tabel4B[Afnameklanten op LS met klassieke meter],16),7)</f>
        <v>#VALUE!</v>
      </c>
      <c r="Q31" s="1070" t="e">
        <f>ROUND(INDEX(Tabel4B[Afnameklanten op LS met klassieke meter],16),7)</f>
        <v>#VALUE!</v>
      </c>
    </row>
    <row r="32" spans="1:17">
      <c r="A32" s="1055"/>
      <c r="D32" s="1063"/>
      <c r="F32" s="1064"/>
      <c r="G32" s="517"/>
      <c r="H32" s="1065"/>
      <c r="I32" s="1066"/>
      <c r="J32" s="517"/>
      <c r="K32" s="1067"/>
      <c r="L32" s="517"/>
      <c r="M32" s="1067"/>
      <c r="N32" s="517"/>
      <c r="O32" s="1068"/>
      <c r="P32" s="1069"/>
      <c r="Q32" s="1070"/>
    </row>
    <row r="33" spans="1:17">
      <c r="A33" s="1055">
        <v>5</v>
      </c>
      <c r="B33" s="1031" t="s">
        <v>462</v>
      </c>
      <c r="D33" s="1063" t="s">
        <v>399</v>
      </c>
      <c r="F33" s="1064" t="e">
        <f>ROUND(INDEX(Tabel4B[Afnameklanten op TRHS],17),7)</f>
        <v>#VALUE!</v>
      </c>
      <c r="G33" s="517"/>
      <c r="H33" s="1065" t="e">
        <f>ROUND(INDEX(Tabel4B[Afnameklanten op &gt;26-36 kV met AV ≥ 5MVA],17),7)</f>
        <v>#VALUE!</v>
      </c>
      <c r="I33" s="1066" t="e">
        <f>ROUND(INDEX(Tabel4B[Afnameklanten op &gt;26-36 kV met AV &lt; 5MVA],17),7)</f>
        <v>#VALUE!</v>
      </c>
      <c r="J33" s="517"/>
      <c r="K33" s="1067" t="e">
        <f>ROUND(INDEX(Tabel4B[Afnameklanten op 26-1kV],17),7)</f>
        <v>#VALUE!</v>
      </c>
      <c r="L33" s="517"/>
      <c r="M33" s="1067" t="e">
        <f>ROUND(INDEX(Tabel4B[Afnameklanten op TRLS],17),7)</f>
        <v>#VALUE!</v>
      </c>
      <c r="N33" s="517"/>
      <c r="O33" s="1068" t="e">
        <f>ROUND(INDEX(Tabel4B[Afnameklanten op LS met piekmeting],17),7)</f>
        <v>#VALUE!</v>
      </c>
      <c r="P33" s="1069" t="e">
        <f>ROUND(INDEX(Tabel4B[Afnameklanten op LS met klassieke meter],17),7)</f>
        <v>#VALUE!</v>
      </c>
      <c r="Q33" s="1070" t="e">
        <f>ROUND(INDEX(Tabel4B[Afnameklanten op LS met klassieke meter],17),7)</f>
        <v>#VALUE!</v>
      </c>
    </row>
    <row r="34" spans="1:17">
      <c r="A34" s="1055"/>
      <c r="D34" s="1063"/>
      <c r="F34" s="1064"/>
      <c r="G34" s="517"/>
      <c r="H34" s="1065"/>
      <c r="I34" s="1066"/>
      <c r="J34" s="517"/>
      <c r="K34" s="1067"/>
      <c r="L34" s="517"/>
      <c r="M34" s="1067"/>
      <c r="N34" s="517"/>
      <c r="O34" s="1068"/>
      <c r="P34" s="1069"/>
      <c r="Q34" s="1070"/>
    </row>
    <row r="35" spans="1:17">
      <c r="A35" s="1055">
        <v>6</v>
      </c>
      <c r="B35" s="1031" t="s">
        <v>403</v>
      </c>
      <c r="D35" s="1063" t="s">
        <v>399</v>
      </c>
      <c r="F35" s="1067" t="e">
        <f>ROUND(SUM(F$37:F$38),7)</f>
        <v>#DIV/0!</v>
      </c>
      <c r="G35" s="517"/>
      <c r="H35" s="1065" t="e">
        <f>ROUND(SUM(H$37:H$38),7)</f>
        <v>#DIV/0!</v>
      </c>
      <c r="I35" s="1066" t="e">
        <f>ROUND(SUM(I$37:I$38),7)</f>
        <v>#DIV/0!</v>
      </c>
      <c r="J35" s="517"/>
      <c r="K35" s="1067" t="e">
        <f>ROUND(SUM(K$37:K$38),7)</f>
        <v>#DIV/0!</v>
      </c>
      <c r="L35" s="517"/>
      <c r="M35" s="1067" t="e">
        <f>ROUND(SUM(M$37:M$38),7)</f>
        <v>#DIV/0!</v>
      </c>
      <c r="N35" s="517"/>
      <c r="O35" s="1068" t="e">
        <f>ROUND(SUM(O$37:O$38),7)</f>
        <v>#DIV/0!</v>
      </c>
      <c r="P35" s="1069" t="e">
        <f>ROUND(SUM(P$37:P$38),7)</f>
        <v>#DIV/0!</v>
      </c>
      <c r="Q35" s="1070" t="e">
        <f>ROUND(SUM(Q$37:Q$38),7)</f>
        <v>#DIV/0!</v>
      </c>
    </row>
    <row r="36" spans="1:17">
      <c r="A36" s="1055"/>
      <c r="B36" s="591" t="s">
        <v>402</v>
      </c>
      <c r="D36" s="1063"/>
      <c r="F36" s="1067"/>
      <c r="G36" s="517"/>
      <c r="H36" s="1065"/>
      <c r="I36" s="1066"/>
      <c r="J36" s="517"/>
      <c r="K36" s="1067"/>
      <c r="L36" s="517"/>
      <c r="M36" s="1067"/>
      <c r="N36" s="517"/>
      <c r="O36" s="1068"/>
      <c r="P36" s="1069"/>
      <c r="Q36" s="1070"/>
    </row>
    <row r="37" spans="1:17">
      <c r="A37" s="1055"/>
      <c r="B37" s="1086" t="s">
        <v>539</v>
      </c>
      <c r="D37" s="1063" t="s">
        <v>399</v>
      </c>
      <c r="F37" s="1067" t="e">
        <f>ROUND(INDEX(Tabel4B[Afnameklanten op TRHS],19),7)</f>
        <v>#DIV/0!</v>
      </c>
      <c r="G37" s="517"/>
      <c r="H37" s="1065" t="e">
        <f>ROUND(INDEX(Tabel4B[Afnameklanten op &gt;26-36 kV met AV ≥ 5MVA],19),7)</f>
        <v>#DIV/0!</v>
      </c>
      <c r="I37" s="1066" t="e">
        <f>ROUND(INDEX(Tabel4B[Afnameklanten op &gt;26-36 kV met AV &lt; 5MVA],19),7)</f>
        <v>#DIV/0!</v>
      </c>
      <c r="J37" s="517"/>
      <c r="K37" s="1067" t="e">
        <f>ROUND(INDEX(Tabel4B[Afnameklanten op 26-1kV],19),7)</f>
        <v>#DIV/0!</v>
      </c>
      <c r="L37" s="517"/>
      <c r="M37" s="1067" t="e">
        <f>ROUND(INDEX(Tabel4B[Afnameklanten op TRLS],19),7)</f>
        <v>#DIV/0!</v>
      </c>
      <c r="N37" s="517"/>
      <c r="O37" s="1068" t="e">
        <f>ROUND(INDEX(Tabel4B[Afnameklanten op LS met piekmeting],19),7)</f>
        <v>#DIV/0!</v>
      </c>
      <c r="P37" s="1069" t="e">
        <f>ROUND(INDEX(Tabel4B[Afnameklanten op LS met klassieke meter],19),7)</f>
        <v>#DIV/0!</v>
      </c>
      <c r="Q37" s="1070" t="e">
        <f>ROUND(INDEX(Tabel4B[Afnameklanten op LS met klassieke meter],19),7)</f>
        <v>#DIV/0!</v>
      </c>
    </row>
    <row r="38" spans="1:17">
      <c r="A38" s="1055"/>
      <c r="B38" s="1" t="s">
        <v>401</v>
      </c>
      <c r="D38" s="1063" t="s">
        <v>399</v>
      </c>
      <c r="F38" s="1067" t="e">
        <f>ROUND(INDEX(Tabel4B[Afnameklanten op TRHS],20),7)</f>
        <v>#DIV/0!</v>
      </c>
      <c r="G38" s="517"/>
      <c r="H38" s="1065" t="e">
        <f>ROUND(INDEX(Tabel4B[Afnameklanten op &gt;26-36 kV met AV ≥ 5MVA],20),7)</f>
        <v>#DIV/0!</v>
      </c>
      <c r="I38" s="1066" t="e">
        <f>ROUND(INDEX(Tabel4B[Afnameklanten op &gt;26-36 kV met AV &lt; 5MVA],20),7)</f>
        <v>#DIV/0!</v>
      </c>
      <c r="J38" s="517"/>
      <c r="K38" s="1067" t="e">
        <f>ROUND(INDEX(Tabel4B[Afnameklanten op 26-1kV],20),7)</f>
        <v>#DIV/0!</v>
      </c>
      <c r="L38" s="517"/>
      <c r="M38" s="1067" t="e">
        <f>ROUND(INDEX(Tabel4B[Afnameklanten op TRLS],20),7)</f>
        <v>#DIV/0!</v>
      </c>
      <c r="N38" s="517"/>
      <c r="O38" s="1068" t="e">
        <f>ROUND(INDEX(Tabel4B[Afnameklanten op LS met piekmeting],20),7)</f>
        <v>#DIV/0!</v>
      </c>
      <c r="P38" s="1069" t="e">
        <f>ROUND(INDEX(Tabel4B[Afnameklanten op LS met klassieke meter],20),7)</f>
        <v>#DIV/0!</v>
      </c>
      <c r="Q38" s="1070" t="e">
        <f>ROUND(INDEX(Tabel4B[Afnameklanten op LS met klassieke meter],20),7)</f>
        <v>#DIV/0!</v>
      </c>
    </row>
    <row r="39" spans="1:17">
      <c r="A39" s="1055"/>
      <c r="B39" s="1031"/>
      <c r="D39" s="1063"/>
      <c r="F39" s="1067"/>
      <c r="G39" s="517"/>
      <c r="H39" s="1065"/>
      <c r="I39" s="1066"/>
      <c r="J39" s="517"/>
      <c r="K39" s="1067"/>
      <c r="L39" s="517"/>
      <c r="M39" s="1067"/>
      <c r="N39" s="517"/>
      <c r="O39" s="1068"/>
      <c r="P39" s="1069"/>
      <c r="Q39" s="1070"/>
    </row>
    <row r="40" spans="1:17">
      <c r="A40" s="1055">
        <v>7</v>
      </c>
      <c r="B40" s="1031" t="s">
        <v>461</v>
      </c>
      <c r="D40" s="1063" t="s">
        <v>435</v>
      </c>
      <c r="F40" s="519"/>
      <c r="G40" s="517"/>
      <c r="H40" s="518"/>
      <c r="I40" s="520"/>
      <c r="J40" s="517"/>
      <c r="K40" s="519"/>
      <c r="L40" s="517"/>
      <c r="M40" s="519"/>
      <c r="N40" s="517"/>
      <c r="O40" s="518"/>
      <c r="P40" s="515"/>
      <c r="Q40" s="1070" t="e">
        <f>ROUND(INDEX(Tabel4B[Prosumenten met terugdraaiende teller op LS],21),2)</f>
        <v>#DIV/0!</v>
      </c>
    </row>
    <row r="41" spans="1:17">
      <c r="A41" s="1055"/>
      <c r="B41" s="1074"/>
      <c r="D41" s="1063"/>
      <c r="F41" s="1064"/>
      <c r="G41" s="517"/>
      <c r="H41" s="1065"/>
      <c r="I41" s="1066"/>
      <c r="J41" s="517"/>
      <c r="K41" s="1067"/>
      <c r="L41" s="517"/>
      <c r="M41" s="1067"/>
      <c r="N41" s="517"/>
      <c r="O41" s="1068"/>
      <c r="P41" s="1069"/>
      <c r="Q41" s="1070"/>
    </row>
    <row r="42" spans="1:17" ht="15" thickBot="1">
      <c r="A42" s="1087"/>
      <c r="B42" s="1088" t="s">
        <v>460</v>
      </c>
      <c r="C42" s="1089"/>
      <c r="D42" s="1090" t="s">
        <v>399</v>
      </c>
      <c r="F42" s="1091">
        <f>'Max Afname TRHS'!$O$15</f>
        <v>0</v>
      </c>
      <c r="G42" s="517"/>
      <c r="H42" s="1092">
        <f>'Max Afname TRHS'!$O$15</f>
        <v>0</v>
      </c>
      <c r="I42" s="1093">
        <f>'Max Afname MS'!$O$15</f>
        <v>0</v>
      </c>
      <c r="J42" s="517"/>
      <c r="K42" s="1091">
        <f>'Max Afname MS'!$O$15</f>
        <v>0</v>
      </c>
      <c r="L42" s="517"/>
      <c r="M42" s="1091">
        <f>'Max Afname TRLS'!$O$15</f>
        <v>0</v>
      </c>
      <c r="N42" s="517"/>
      <c r="O42" s="1094">
        <f>'Max Afname LS'!$K$14</f>
        <v>0</v>
      </c>
      <c r="P42" s="527"/>
      <c r="Q42" s="528"/>
    </row>
    <row r="44" spans="1:17">
      <c r="A44" s="1277"/>
      <c r="B44" s="1278"/>
      <c r="C44" s="1279"/>
      <c r="D44" s="1280"/>
      <c r="E44" s="1279"/>
      <c r="F44" s="1279"/>
      <c r="G44" s="1279"/>
      <c r="H44" s="1281"/>
      <c r="I44" s="1281"/>
      <c r="J44" s="1279"/>
      <c r="K44" s="1279"/>
      <c r="L44" s="1279"/>
      <c r="M44" s="1279"/>
      <c r="N44" s="1279"/>
      <c r="O44" s="1279"/>
      <c r="P44" s="1279"/>
      <c r="Q44" s="1279"/>
    </row>
    <row r="45" spans="1:17">
      <c r="A45" s="1277"/>
      <c r="B45" s="1278"/>
      <c r="C45" s="1279"/>
      <c r="D45" s="1280"/>
      <c r="E45" s="1279"/>
      <c r="F45" s="1279"/>
      <c r="G45" s="1279"/>
      <c r="H45" s="1281"/>
      <c r="I45" s="1281"/>
      <c r="J45" s="1279"/>
      <c r="K45" s="1279"/>
      <c r="L45" s="1279"/>
      <c r="M45" s="1279"/>
      <c r="N45" s="1279"/>
      <c r="O45" s="1279"/>
      <c r="P45" s="1279"/>
      <c r="Q45" s="1279"/>
    </row>
    <row r="46" spans="1:17">
      <c r="A46" s="1277"/>
      <c r="B46" s="1278"/>
      <c r="C46" s="1279"/>
      <c r="D46" s="1280"/>
      <c r="E46" s="1279"/>
      <c r="F46" s="1279"/>
      <c r="G46" s="1279"/>
      <c r="H46" s="1281"/>
      <c r="I46" s="1281"/>
      <c r="J46" s="1279"/>
      <c r="K46" s="1279"/>
      <c r="L46" s="1279"/>
      <c r="M46" s="1279"/>
      <c r="N46" s="1279"/>
      <c r="O46" s="1279"/>
      <c r="P46" s="1279"/>
      <c r="Q46" s="1279"/>
    </row>
    <row r="47" spans="1:17">
      <c r="A47" s="1277"/>
      <c r="B47" s="1278"/>
      <c r="C47" s="1279"/>
      <c r="D47" s="1280"/>
      <c r="E47" s="1279"/>
      <c r="F47" s="1279"/>
      <c r="G47" s="1279"/>
      <c r="H47" s="1281"/>
      <c r="I47" s="1281"/>
      <c r="J47" s="1279"/>
      <c r="K47" s="1279"/>
      <c r="L47" s="1279"/>
      <c r="M47" s="1279"/>
      <c r="N47" s="1279"/>
      <c r="O47" s="1279"/>
      <c r="P47" s="1279"/>
      <c r="Q47" s="1279"/>
    </row>
    <row r="48" spans="1:17">
      <c r="A48" s="1277"/>
      <c r="B48" s="1278"/>
      <c r="C48" s="1279"/>
      <c r="D48" s="1280"/>
      <c r="E48" s="1279"/>
      <c r="F48" s="1279"/>
      <c r="G48" s="1279"/>
      <c r="H48" s="1281"/>
      <c r="I48" s="1281"/>
      <c r="J48" s="1279"/>
      <c r="K48" s="1279"/>
      <c r="L48" s="1279"/>
      <c r="M48" s="1279"/>
      <c r="N48" s="1279"/>
      <c r="O48" s="1279"/>
      <c r="P48" s="1279"/>
      <c r="Q48" s="1279"/>
    </row>
    <row r="49" spans="1:17">
      <c r="A49" s="1277"/>
      <c r="B49" s="1278"/>
      <c r="C49" s="1279"/>
      <c r="D49" s="1280"/>
      <c r="E49" s="1279"/>
      <c r="F49" s="1279"/>
      <c r="G49" s="1279"/>
      <c r="H49" s="1281"/>
      <c r="I49" s="1281"/>
      <c r="J49" s="1279"/>
      <c r="K49" s="1279"/>
      <c r="L49" s="1279"/>
      <c r="M49" s="1279"/>
      <c r="N49" s="1279"/>
      <c r="O49" s="1279"/>
      <c r="P49" s="1279"/>
      <c r="Q49" s="1279"/>
    </row>
    <row r="50" spans="1:17">
      <c r="A50" s="1277"/>
      <c r="B50" s="1278"/>
      <c r="C50" s="1279"/>
      <c r="D50" s="1280"/>
      <c r="E50" s="1279"/>
      <c r="F50" s="1279"/>
      <c r="G50" s="1279"/>
      <c r="H50" s="1281"/>
      <c r="I50" s="1281"/>
      <c r="J50" s="1279"/>
      <c r="K50" s="1279"/>
      <c r="L50" s="1279"/>
      <c r="M50" s="1279"/>
      <c r="N50" s="1279"/>
      <c r="O50" s="1279"/>
      <c r="P50" s="1279"/>
      <c r="Q50" s="1279"/>
    </row>
    <row r="51" spans="1:17">
      <c r="A51" s="1277"/>
      <c r="B51" s="1278"/>
      <c r="C51" s="1279"/>
      <c r="D51" s="1280"/>
      <c r="E51" s="1279"/>
      <c r="F51" s="1279"/>
      <c r="G51" s="1279"/>
      <c r="H51" s="1281"/>
      <c r="I51" s="1281"/>
      <c r="J51" s="1279"/>
      <c r="K51" s="1279"/>
      <c r="L51" s="1279"/>
      <c r="M51" s="1279"/>
      <c r="N51" s="1279"/>
      <c r="O51" s="1279"/>
      <c r="P51" s="1279"/>
      <c r="Q51" s="1279"/>
    </row>
    <row r="52" spans="1:17">
      <c r="A52" s="1277"/>
      <c r="B52" s="1278"/>
      <c r="C52" s="1279"/>
      <c r="D52" s="1280"/>
      <c r="E52" s="1279"/>
      <c r="F52" s="1279"/>
      <c r="G52" s="1279"/>
      <c r="H52" s="1281"/>
      <c r="I52" s="1281"/>
      <c r="J52" s="1279"/>
      <c r="K52" s="1279"/>
      <c r="L52" s="1279"/>
      <c r="M52" s="1279"/>
      <c r="N52" s="1279"/>
      <c r="O52" s="1279"/>
      <c r="P52" s="1279"/>
      <c r="Q52" s="1279"/>
    </row>
    <row r="53" spans="1:17">
      <c r="A53" s="1277"/>
      <c r="B53" s="1278"/>
      <c r="C53" s="1279"/>
      <c r="D53" s="1280"/>
      <c r="E53" s="1279"/>
      <c r="F53" s="1279"/>
      <c r="G53" s="1279"/>
      <c r="H53" s="1281"/>
      <c r="I53" s="1281"/>
      <c r="J53" s="1279"/>
      <c r="K53" s="1279"/>
      <c r="L53" s="1279"/>
      <c r="M53" s="1279"/>
      <c r="N53" s="1279"/>
      <c r="O53" s="1279"/>
      <c r="P53" s="1279"/>
      <c r="Q53" s="1279"/>
    </row>
    <row r="54" spans="1:17">
      <c r="A54" s="1277"/>
      <c r="B54" s="1278"/>
      <c r="C54" s="1279"/>
      <c r="D54" s="1280"/>
      <c r="E54" s="1279"/>
      <c r="F54" s="1279"/>
      <c r="G54" s="1279"/>
      <c r="H54" s="1281"/>
      <c r="I54" s="1281"/>
      <c r="J54" s="1279"/>
      <c r="K54" s="1279"/>
      <c r="L54" s="1279"/>
      <c r="M54" s="1279"/>
      <c r="N54" s="1279"/>
      <c r="O54" s="1279"/>
      <c r="P54" s="1279"/>
      <c r="Q54" s="1279"/>
    </row>
    <row r="55" spans="1:17">
      <c r="A55" s="1277"/>
      <c r="B55" s="1278"/>
      <c r="C55" s="1279"/>
      <c r="D55" s="1280"/>
      <c r="E55" s="1279"/>
      <c r="F55" s="1279"/>
      <c r="G55" s="1279"/>
      <c r="H55" s="1281"/>
      <c r="I55" s="1281"/>
      <c r="J55" s="1279"/>
      <c r="K55" s="1279"/>
      <c r="L55" s="1279"/>
      <c r="M55" s="1279"/>
      <c r="N55" s="1279"/>
      <c r="O55" s="1279"/>
      <c r="P55" s="1279"/>
      <c r="Q55" s="1279"/>
    </row>
    <row r="56" spans="1:17">
      <c r="A56" s="1277"/>
      <c r="B56" s="1278"/>
      <c r="C56" s="1279"/>
      <c r="D56" s="1280"/>
      <c r="E56" s="1279"/>
      <c r="F56" s="1279"/>
      <c r="G56" s="1279"/>
      <c r="H56" s="1281"/>
      <c r="I56" s="1281"/>
      <c r="J56" s="1279"/>
      <c r="K56" s="1279"/>
      <c r="L56" s="1279"/>
      <c r="M56" s="1279"/>
      <c r="N56" s="1279"/>
      <c r="O56" s="1279"/>
      <c r="P56" s="1279"/>
      <c r="Q56" s="1279"/>
    </row>
    <row r="57" spans="1:17">
      <c r="A57" s="1277"/>
      <c r="B57" s="1278"/>
      <c r="C57" s="1279"/>
      <c r="D57" s="1280"/>
      <c r="E57" s="1279"/>
      <c r="F57" s="1279"/>
      <c r="G57" s="1279"/>
      <c r="H57" s="1281"/>
      <c r="I57" s="1281"/>
      <c r="J57" s="1279"/>
      <c r="K57" s="1279"/>
      <c r="L57" s="1279"/>
      <c r="M57" s="1279"/>
      <c r="N57" s="1279"/>
      <c r="O57" s="1279"/>
      <c r="P57" s="1279"/>
      <c r="Q57" s="1279"/>
    </row>
    <row r="58" spans="1:17">
      <c r="A58" s="1277"/>
      <c r="B58" s="1278"/>
      <c r="C58" s="1279"/>
      <c r="D58" s="1280"/>
      <c r="E58" s="1279"/>
      <c r="F58" s="1279"/>
      <c r="G58" s="1279"/>
      <c r="H58" s="1281"/>
      <c r="I58" s="1281"/>
      <c r="J58" s="1279"/>
      <c r="K58" s="1279"/>
      <c r="L58" s="1279"/>
      <c r="M58" s="1279"/>
      <c r="N58" s="1279"/>
      <c r="O58" s="1279"/>
      <c r="P58" s="1279"/>
      <c r="Q58" s="1279"/>
    </row>
    <row r="59" spans="1:17">
      <c r="A59" s="1277"/>
      <c r="B59" s="1278"/>
      <c r="C59" s="1279"/>
      <c r="D59" s="1280"/>
      <c r="E59" s="1279"/>
      <c r="F59" s="1279"/>
      <c r="G59" s="1279"/>
      <c r="H59" s="1281"/>
      <c r="I59" s="1281"/>
      <c r="J59" s="1279"/>
      <c r="K59" s="1279"/>
      <c r="L59" s="1279"/>
      <c r="M59" s="1279"/>
      <c r="N59" s="1279"/>
      <c r="O59" s="1279"/>
      <c r="P59" s="1279"/>
      <c r="Q59" s="1279"/>
    </row>
    <row r="60" spans="1:17">
      <c r="A60" s="1277"/>
      <c r="B60" s="1278"/>
      <c r="C60" s="1279"/>
      <c r="D60" s="1280"/>
      <c r="E60" s="1279"/>
      <c r="F60" s="1279"/>
      <c r="G60" s="1279"/>
      <c r="H60" s="1281"/>
      <c r="I60" s="1281"/>
      <c r="J60" s="1279"/>
      <c r="K60" s="1279"/>
      <c r="L60" s="1279"/>
      <c r="M60" s="1279"/>
      <c r="N60" s="1279"/>
      <c r="O60" s="1279"/>
      <c r="P60" s="1279"/>
      <c r="Q60" s="1279"/>
    </row>
    <row r="61" spans="1:17">
      <c r="A61" s="1277"/>
      <c r="B61" s="1278"/>
      <c r="C61" s="1279"/>
      <c r="D61" s="1280"/>
      <c r="E61" s="1279"/>
      <c r="F61" s="1279"/>
      <c r="G61" s="1279"/>
      <c r="H61" s="1281"/>
      <c r="I61" s="1281"/>
      <c r="J61" s="1279"/>
      <c r="K61" s="1279"/>
      <c r="L61" s="1279"/>
      <c r="M61" s="1279"/>
      <c r="N61" s="1279"/>
      <c r="O61" s="1279"/>
      <c r="P61" s="1279"/>
      <c r="Q61" s="1279"/>
    </row>
    <row r="62" spans="1:17">
      <c r="A62" s="1277"/>
      <c r="B62" s="1278"/>
      <c r="C62" s="1279"/>
      <c r="D62" s="1280"/>
      <c r="E62" s="1279"/>
      <c r="F62" s="1279"/>
      <c r="G62" s="1279"/>
      <c r="H62" s="1281"/>
      <c r="I62" s="1281"/>
      <c r="J62" s="1279"/>
      <c r="K62" s="1279"/>
      <c r="L62" s="1279"/>
      <c r="M62" s="1279"/>
      <c r="N62" s="1279"/>
      <c r="O62" s="1279"/>
      <c r="P62" s="1279"/>
      <c r="Q62" s="1279"/>
    </row>
    <row r="63" spans="1:17">
      <c r="A63" s="1277"/>
      <c r="B63" s="1278"/>
      <c r="C63" s="1279"/>
      <c r="D63" s="1280"/>
      <c r="E63" s="1279"/>
      <c r="F63" s="1279"/>
      <c r="G63" s="1279"/>
      <c r="H63" s="1281"/>
      <c r="I63" s="1281"/>
      <c r="J63" s="1279"/>
      <c r="K63" s="1279"/>
      <c r="L63" s="1279"/>
      <c r="M63" s="1279"/>
      <c r="N63" s="1279"/>
      <c r="O63" s="1279"/>
      <c r="P63" s="1279"/>
      <c r="Q63" s="1279"/>
    </row>
  </sheetData>
  <sheetProtection algorithmName="SHA-512" hashValue="q3tkRh20zHnTRSgOdZbwdpaVoh2F7PePzxEZYb0wK+Y63QCsvUBgrJsOFUKEbgArK4V/5hX3CPFPtGlsgTqIRA==" saltValue="t7ZI1iboS/Qzd/lFCjqtlg==" spinCount="100000" sheet="1" objects="1" scenarios="1"/>
  <mergeCells count="7">
    <mergeCell ref="A1:Q1"/>
    <mergeCell ref="H4:I4"/>
    <mergeCell ref="O4:Q4"/>
    <mergeCell ref="B19:D19"/>
    <mergeCell ref="B7:D7"/>
    <mergeCell ref="B12:D12"/>
    <mergeCell ref="B16:D16"/>
  </mergeCells>
  <pageMargins left="0.70866141732283472" right="0.70866141732283472" top="0.74803149606299213" bottom="0.74803149606299213" header="0.31496062992125984" footer="0.31496062992125984"/>
  <pageSetup paperSize="9" scale="4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A959-92AB-4707-AF7B-5378C847739C}">
  <sheetPr published="0">
    <pageSetUpPr fitToPage="1"/>
  </sheetPr>
  <dimension ref="A1:Q95"/>
  <sheetViews>
    <sheetView showGridLines="0" zoomScaleNormal="100" workbookViewId="0">
      <selection activeCell="A2" sqref="A2"/>
    </sheetView>
  </sheetViews>
  <sheetFormatPr defaultColWidth="9.1796875" defaultRowHeight="14.5"/>
  <cols>
    <col min="1" max="1" width="3.453125" style="1097" customWidth="1"/>
    <col min="2" max="2" width="108.81640625" style="1035" customWidth="1"/>
    <col min="3" max="3" width="2.54296875" style="1" customWidth="1"/>
    <col min="4" max="4" width="15.54296875" style="1035" customWidth="1"/>
    <col min="5" max="5" width="15.54296875" style="1086" customWidth="1"/>
    <col min="6" max="16384" width="9.1796875" style="1"/>
  </cols>
  <sheetData>
    <row r="1" spans="1:17" ht="16" thickBot="1">
      <c r="A1" s="1095"/>
      <c r="B1" s="1644" t="str">
        <f>DNB&amp;" - ELEKTRICITEIT - Tarieflijst periodieke distributienettarieven "&amp;JAAR&amp;" - Afname"</f>
        <v>Naam distributienetbeheerder - ELEKTRICITEIT - Tarieflijst periodieke distributienettarieven 2022 - Afname</v>
      </c>
      <c r="C1" s="1644"/>
      <c r="D1" s="1644"/>
      <c r="E1" s="1645"/>
      <c r="F1" s="1096"/>
      <c r="G1" s="1096"/>
      <c r="H1" s="1096"/>
      <c r="I1" s="1096"/>
      <c r="J1" s="1096"/>
      <c r="K1" s="1096"/>
      <c r="L1" s="1096"/>
      <c r="M1" s="1096"/>
      <c r="N1" s="1096"/>
      <c r="O1" s="1096"/>
      <c r="P1" s="1096"/>
      <c r="Q1" s="1096"/>
    </row>
    <row r="2" spans="1:17" ht="15" thickBot="1"/>
    <row r="3" spans="1:17" ht="15" thickBot="1">
      <c r="A3" s="1646" t="s">
        <v>424</v>
      </c>
      <c r="B3" s="1647"/>
      <c r="C3" s="1098"/>
      <c r="D3" s="1099" t="s">
        <v>423</v>
      </c>
      <c r="E3" s="1100" t="s">
        <v>422</v>
      </c>
    </row>
    <row r="4" spans="1:17">
      <c r="A4" s="1076" t="s">
        <v>421</v>
      </c>
      <c r="C4" s="1101"/>
      <c r="D4" s="1102"/>
      <c r="E4" s="591"/>
    </row>
    <row r="5" spans="1:17" ht="15" thickBot="1">
      <c r="B5" s="1097"/>
      <c r="C5" s="1034"/>
      <c r="D5" s="1102"/>
      <c r="E5" s="591"/>
    </row>
    <row r="6" spans="1:17">
      <c r="A6" s="1103">
        <v>1</v>
      </c>
      <c r="B6" s="1104" t="s">
        <v>420</v>
      </c>
      <c r="C6" s="1105"/>
      <c r="D6" s="1106"/>
      <c r="E6" s="1107"/>
    </row>
    <row r="7" spans="1:17">
      <c r="A7" s="1108" t="s">
        <v>419</v>
      </c>
      <c r="B7" s="1109" t="s">
        <v>418</v>
      </c>
      <c r="D7" s="1110" t="e">
        <f>ROUND($D$8/12,7)</f>
        <v>#DIV/0!</v>
      </c>
      <c r="E7" s="1267" t="s">
        <v>582</v>
      </c>
      <c r="F7" s="1112"/>
    </row>
    <row r="8" spans="1:17">
      <c r="A8" s="1108"/>
      <c r="B8" s="1284" t="s">
        <v>584</v>
      </c>
      <c r="D8" s="1282" t="e">
        <f>ROUND(INDEX(Tabel4B[Afnameklanten op TRHS],1),7)</f>
        <v>#DIV/0!</v>
      </c>
      <c r="E8" s="1283" t="s">
        <v>417</v>
      </c>
      <c r="F8" s="1112"/>
    </row>
    <row r="9" spans="1:17">
      <c r="A9" s="1108" t="s">
        <v>416</v>
      </c>
      <c r="B9" s="1109" t="s">
        <v>415</v>
      </c>
      <c r="D9" s="1110" t="e">
        <f>ROUND(INDEX(Tabel4B[Afnameklanten op TRHS],2),7)</f>
        <v>#DIV/0!</v>
      </c>
      <c r="E9" s="1111" t="s">
        <v>412</v>
      </c>
      <c r="F9" s="1112"/>
    </row>
    <row r="10" spans="1:17" ht="38.5">
      <c r="A10" s="1108" t="s">
        <v>414</v>
      </c>
      <c r="B10" s="1113" t="s">
        <v>585</v>
      </c>
      <c r="C10" s="1114"/>
      <c r="D10" s="1110" t="e">
        <f>ROUND(INDEX(Tabel4B[Afnameklanten op TRHS],3),7)</f>
        <v>#DIV/0!</v>
      </c>
      <c r="E10" s="1111" t="s">
        <v>412</v>
      </c>
      <c r="F10" s="1112"/>
    </row>
    <row r="11" spans="1:17">
      <c r="A11" s="1108"/>
      <c r="B11" s="1113"/>
      <c r="C11" s="1114"/>
      <c r="D11" s="514"/>
      <c r="E11" s="1111"/>
      <c r="F11" s="1112"/>
    </row>
    <row r="12" spans="1:17">
      <c r="A12" s="1108">
        <v>2</v>
      </c>
      <c r="B12" s="1115" t="s">
        <v>411</v>
      </c>
      <c r="C12" s="1034"/>
      <c r="D12" s="514"/>
      <c r="E12" s="1111"/>
    </row>
    <row r="13" spans="1:17">
      <c r="A13" s="1108"/>
      <c r="B13" s="1109" t="s">
        <v>410</v>
      </c>
      <c r="D13" s="1299"/>
      <c r="E13" s="1111"/>
    </row>
    <row r="14" spans="1:17" ht="26.5">
      <c r="A14" s="1108"/>
      <c r="B14" s="1113" t="s">
        <v>409</v>
      </c>
      <c r="C14" s="593"/>
      <c r="D14" s="1110" t="e">
        <f>ROUND(INDEX(Tabel4B[Afnameklanten op TRHS],8),7)</f>
        <v>#VALUE!</v>
      </c>
      <c r="E14" s="1111" t="s">
        <v>408</v>
      </c>
    </row>
    <row r="15" spans="1:17">
      <c r="A15" s="1108"/>
      <c r="B15" s="1109"/>
      <c r="D15" s="514"/>
      <c r="E15" s="1111"/>
    </row>
    <row r="16" spans="1:17">
      <c r="A16" s="1108">
        <v>3</v>
      </c>
      <c r="B16" s="1115" t="s">
        <v>407</v>
      </c>
      <c r="C16" s="1034"/>
      <c r="D16" s="514"/>
      <c r="E16" s="1111"/>
    </row>
    <row r="17" spans="1:6">
      <c r="A17" s="1108"/>
      <c r="B17" s="1109" t="s">
        <v>565</v>
      </c>
      <c r="D17" s="1116" t="e">
        <f>ROUND(INDEX(Tabel4B[Afnameklanten op TRHS],9),2)</f>
        <v>#DIV/0!</v>
      </c>
      <c r="E17" s="1111" t="s">
        <v>406</v>
      </c>
    </row>
    <row r="18" spans="1:6">
      <c r="A18" s="1108"/>
      <c r="B18" s="1109"/>
      <c r="D18" s="514"/>
      <c r="E18" s="1111"/>
    </row>
    <row r="19" spans="1:6">
      <c r="A19" s="1108">
        <v>4</v>
      </c>
      <c r="B19" s="1115" t="s">
        <v>405</v>
      </c>
      <c r="C19" s="1034"/>
      <c r="D19" s="1110" t="e">
        <f>ROUND(INDEX(Tabel4B[Afnameklanten op TRHS],15),7)</f>
        <v>#VALUE!</v>
      </c>
      <c r="E19" s="1111" t="s">
        <v>399</v>
      </c>
    </row>
    <row r="20" spans="1:6">
      <c r="A20" s="1108"/>
      <c r="B20" s="1115"/>
      <c r="C20" s="1034"/>
      <c r="D20" s="514"/>
      <c r="E20" s="1111"/>
    </row>
    <row r="21" spans="1:6">
      <c r="A21" s="1108">
        <v>5</v>
      </c>
      <c r="B21" s="1115" t="s">
        <v>404</v>
      </c>
      <c r="C21" s="1034"/>
      <c r="D21" s="1110" t="e">
        <f>ROUND(INDEX(Tabel4B[Afnameklanten op TRHS],17),7)</f>
        <v>#VALUE!</v>
      </c>
      <c r="E21" s="1111" t="s">
        <v>399</v>
      </c>
      <c r="F21" s="1112"/>
    </row>
    <row r="22" spans="1:6">
      <c r="A22" s="1108"/>
      <c r="B22" s="1115"/>
      <c r="C22" s="1034"/>
      <c r="D22" s="514"/>
      <c r="E22" s="1111"/>
      <c r="F22" s="1112"/>
    </row>
    <row r="23" spans="1:6">
      <c r="A23" s="1108">
        <v>6</v>
      </c>
      <c r="B23" s="1115" t="s">
        <v>403</v>
      </c>
      <c r="C23" s="1034"/>
      <c r="D23" s="1110" t="e">
        <f>ROUND(SUM(D$25:D$26),7)</f>
        <v>#DIV/0!</v>
      </c>
      <c r="E23" s="1111" t="s">
        <v>399</v>
      </c>
    </row>
    <row r="24" spans="1:6">
      <c r="A24" s="1108"/>
      <c r="B24" s="1109" t="s">
        <v>402</v>
      </c>
      <c r="C24" s="1034"/>
      <c r="D24" s="514"/>
      <c r="E24" s="1111"/>
    </row>
    <row r="25" spans="1:6">
      <c r="A25" s="1108"/>
      <c r="B25" s="1117" t="s">
        <v>540</v>
      </c>
      <c r="C25" s="1101"/>
      <c r="D25" s="1110" t="e">
        <f>ROUND(INDEX(Tabel4B[Afnameklanten op TRHS],19),7)</f>
        <v>#DIV/0!</v>
      </c>
      <c r="E25" s="1118" t="s">
        <v>399</v>
      </c>
    </row>
    <row r="26" spans="1:6">
      <c r="A26" s="1108"/>
      <c r="B26" s="1117" t="s">
        <v>401</v>
      </c>
      <c r="C26" s="1101"/>
      <c r="D26" s="1110" t="e">
        <f>ROUND(INDEX(Tabel4B[Afnameklanten op TRHS],20),7)</f>
        <v>#DIV/0!</v>
      </c>
      <c r="E26" s="1118" t="s">
        <v>399</v>
      </c>
    </row>
    <row r="27" spans="1:6">
      <c r="A27" s="1108"/>
      <c r="B27" s="1115"/>
      <c r="C27" s="1034"/>
      <c r="D27" s="514"/>
      <c r="E27" s="1111"/>
    </row>
    <row r="28" spans="1:6" ht="15" thickBot="1">
      <c r="A28" s="1119"/>
      <c r="B28" s="1120" t="s">
        <v>400</v>
      </c>
      <c r="C28" s="1121"/>
      <c r="D28" s="1122">
        <f>'Max Afname TRHS'!$O$15</f>
        <v>0</v>
      </c>
      <c r="E28" s="1123" t="s">
        <v>399</v>
      </c>
    </row>
    <row r="30" spans="1:6">
      <c r="A30" s="1285"/>
      <c r="B30" s="1278"/>
      <c r="C30" s="1279"/>
      <c r="D30" s="1278"/>
      <c r="E30" s="1286"/>
    </row>
    <row r="31" spans="1:6">
      <c r="A31" s="1285"/>
      <c r="B31" s="1287"/>
      <c r="C31" s="1288"/>
      <c r="D31" s="1278"/>
      <c r="E31" s="1286"/>
    </row>
    <row r="32" spans="1:6">
      <c r="A32" s="1285"/>
      <c r="B32" s="1278"/>
      <c r="C32" s="1279"/>
      <c r="D32" s="1278"/>
      <c r="E32" s="1286"/>
    </row>
    <row r="33" spans="1:5">
      <c r="A33" s="1285"/>
      <c r="B33" s="1278"/>
      <c r="C33" s="1279"/>
      <c r="D33" s="1278"/>
      <c r="E33" s="1286"/>
    </row>
    <row r="34" spans="1:5">
      <c r="A34" s="1285"/>
      <c r="B34" s="1278"/>
      <c r="C34" s="1279"/>
      <c r="D34" s="1278"/>
      <c r="E34" s="1286"/>
    </row>
    <row r="35" spans="1:5">
      <c r="A35" s="1285"/>
      <c r="B35" s="1278"/>
      <c r="C35" s="1279"/>
      <c r="D35" s="1278"/>
      <c r="E35" s="1286"/>
    </row>
    <row r="36" spans="1:5">
      <c r="A36" s="1285"/>
      <c r="B36" s="1278"/>
      <c r="C36" s="1279"/>
      <c r="D36" s="1278"/>
      <c r="E36" s="1286"/>
    </row>
    <row r="37" spans="1:5">
      <c r="A37" s="1285"/>
      <c r="B37" s="1278"/>
      <c r="C37" s="1279"/>
      <c r="D37" s="1278"/>
      <c r="E37" s="1286"/>
    </row>
    <row r="38" spans="1:5">
      <c r="A38" s="1285"/>
      <c r="B38" s="1278"/>
      <c r="C38" s="1279"/>
      <c r="D38" s="1278"/>
      <c r="E38" s="1286"/>
    </row>
    <row r="39" spans="1:5">
      <c r="A39" s="1285"/>
      <c r="B39" s="1278"/>
      <c r="C39" s="1279"/>
      <c r="D39" s="1278"/>
      <c r="E39" s="1286"/>
    </row>
    <row r="40" spans="1:5">
      <c r="A40" s="1285"/>
      <c r="B40" s="1278"/>
      <c r="C40" s="1279"/>
      <c r="D40" s="1278"/>
      <c r="E40" s="1286"/>
    </row>
    <row r="41" spans="1:5">
      <c r="A41" s="1285"/>
      <c r="B41" s="1278"/>
      <c r="C41" s="1279"/>
      <c r="D41" s="1278"/>
      <c r="E41" s="1286"/>
    </row>
    <row r="42" spans="1:5">
      <c r="A42" s="1285"/>
      <c r="B42" s="1278"/>
      <c r="C42" s="1279"/>
      <c r="D42" s="1278"/>
      <c r="E42" s="1286"/>
    </row>
    <row r="43" spans="1:5">
      <c r="A43" s="1285"/>
      <c r="B43" s="1278"/>
      <c r="C43" s="1279"/>
      <c r="D43" s="1278"/>
      <c r="E43" s="1286"/>
    </row>
    <row r="44" spans="1:5">
      <c r="A44" s="1285"/>
      <c r="B44" s="1278"/>
      <c r="C44" s="1279"/>
      <c r="D44" s="1278"/>
      <c r="E44" s="1286"/>
    </row>
    <row r="45" spans="1:5">
      <c r="A45" s="1285"/>
      <c r="B45" s="1278"/>
      <c r="C45" s="1279"/>
      <c r="D45" s="1278"/>
      <c r="E45" s="1286"/>
    </row>
    <row r="46" spans="1:5">
      <c r="A46" s="1285"/>
      <c r="B46" s="1278"/>
      <c r="C46" s="1279"/>
      <c r="D46" s="1278"/>
      <c r="E46" s="1286"/>
    </row>
    <row r="47" spans="1:5">
      <c r="A47" s="1285"/>
      <c r="B47" s="1278"/>
      <c r="C47" s="1279"/>
      <c r="D47" s="1278"/>
      <c r="E47" s="1286"/>
    </row>
    <row r="48" spans="1:5">
      <c r="A48" s="1285"/>
      <c r="B48" s="1278"/>
      <c r="C48" s="1279"/>
      <c r="D48" s="1278"/>
      <c r="E48" s="1286"/>
    </row>
    <row r="49" spans="1:6">
      <c r="A49" s="1285"/>
      <c r="B49" s="1278"/>
      <c r="C49" s="1279"/>
      <c r="D49" s="1278"/>
      <c r="E49" s="1286"/>
    </row>
    <row r="50" spans="1:6" s="1034" customFormat="1">
      <c r="A50" s="1097"/>
      <c r="B50" s="1035"/>
      <c r="C50" s="1"/>
      <c r="D50" s="1035"/>
      <c r="E50" s="1086"/>
      <c r="F50" s="1"/>
    </row>
    <row r="55" spans="1:6">
      <c r="B55" s="1031"/>
      <c r="C55" s="1034"/>
    </row>
    <row r="58" spans="1:6">
      <c r="B58" s="1031"/>
      <c r="C58" s="1034"/>
    </row>
    <row r="62" spans="1:6">
      <c r="B62" s="1031"/>
      <c r="C62" s="1034"/>
    </row>
    <row r="66" spans="2:6">
      <c r="B66" s="1031"/>
      <c r="C66" s="1034"/>
      <c r="D66" s="1031"/>
      <c r="E66" s="1124"/>
      <c r="F66" s="1034"/>
    </row>
    <row r="69" spans="2:6">
      <c r="B69" s="1031"/>
      <c r="C69" s="1034"/>
    </row>
    <row r="72" spans="2:6">
      <c r="B72" s="1031"/>
      <c r="C72" s="1034"/>
    </row>
    <row r="74" spans="2:6">
      <c r="B74" s="1031"/>
      <c r="C74" s="1034"/>
    </row>
    <row r="79" spans="2:6">
      <c r="B79" s="1031"/>
      <c r="C79" s="1034"/>
    </row>
    <row r="81" spans="2:3">
      <c r="B81" s="1031"/>
      <c r="C81" s="1034"/>
    </row>
    <row r="84" spans="2:3">
      <c r="B84" s="1031"/>
      <c r="C84" s="1034"/>
    </row>
    <row r="87" spans="2:3">
      <c r="B87" s="1031"/>
      <c r="C87" s="1034"/>
    </row>
    <row r="90" spans="2:3">
      <c r="B90" s="1031"/>
      <c r="C90" s="1034"/>
    </row>
    <row r="92" spans="2:3">
      <c r="B92" s="1031"/>
      <c r="C92" s="1034"/>
    </row>
    <row r="95" spans="2:3">
      <c r="B95" s="1031"/>
      <c r="C95" s="1034"/>
    </row>
  </sheetData>
  <sheetProtection algorithmName="SHA-512" hashValue="ybTP0IKBLkUOHztAa74Ob/JeacX6f2wQft2nVXMchOGYg0v0XWk9Jx8N7YKx+uvES/6QjVrxcps5Pl2PpRBJvw==" saltValue="BKIQieLz2tPpqf9qPO0rnQ==" spinCount="100000" sheet="1" objects="1" scenarios="1"/>
  <mergeCells count="2">
    <mergeCell ref="B1:E1"/>
    <mergeCell ref="A3:B3"/>
  </mergeCells>
  <pageMargins left="0.70866141732283472" right="0.70866141732283472" top="0.74803149606299213" bottom="0.74803149606299213" header="0.31496062992125984" footer="0.31496062992125984"/>
  <pageSetup paperSize="9" scale="5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20A5-958D-4C33-9CA0-9B835723B857}">
  <sheetPr published="0">
    <pageSetUpPr fitToPage="1"/>
  </sheetPr>
  <dimension ref="A1:M108"/>
  <sheetViews>
    <sheetView showGridLines="0" zoomScaleNormal="100" workbookViewId="0">
      <selection activeCell="A2" sqref="A2"/>
    </sheetView>
  </sheetViews>
  <sheetFormatPr defaultColWidth="9.1796875" defaultRowHeight="14.5"/>
  <cols>
    <col min="1" max="1" width="3.453125" style="1097" customWidth="1"/>
    <col min="2" max="2" width="69.54296875" style="6" customWidth="1"/>
    <col min="3" max="3" width="2.54296875" style="1" customWidth="1"/>
    <col min="4" max="4" width="15.7265625" style="1035" customWidth="1"/>
    <col min="5" max="5" width="15.7265625" style="1071" customWidth="1"/>
    <col min="6" max="6" width="2.54296875" style="1" customWidth="1"/>
    <col min="7" max="8" width="15.7265625" style="1035" customWidth="1"/>
    <col min="9" max="16384" width="9.1796875" style="1"/>
  </cols>
  <sheetData>
    <row r="1" spans="1:13" ht="16" thickBot="1">
      <c r="A1" s="1648" t="str">
        <f>DNB&amp;" - ELEKTRICITEIT - Tarieflijst periodieke distributienettarieven "&amp;JAAR&amp;" - Afname"</f>
        <v>Naam distributienetbeheerder - ELEKTRICITEIT - Tarieflijst periodieke distributienettarieven 2022 - Afname</v>
      </c>
      <c r="B1" s="1644"/>
      <c r="C1" s="1644"/>
      <c r="D1" s="1644"/>
      <c r="E1" s="1644"/>
      <c r="F1" s="1644"/>
      <c r="G1" s="1644"/>
      <c r="H1" s="1645"/>
      <c r="I1" s="1096"/>
      <c r="J1" s="1096"/>
      <c r="K1" s="1096"/>
      <c r="L1" s="1096"/>
      <c r="M1" s="1096"/>
    </row>
    <row r="2" spans="1:13" ht="15" thickBot="1"/>
    <row r="3" spans="1:13" ht="15" thickBot="1">
      <c r="A3" s="1125" t="s">
        <v>429</v>
      </c>
      <c r="B3" s="1126"/>
      <c r="C3" s="1098"/>
      <c r="D3" s="1099" t="s">
        <v>423</v>
      </c>
      <c r="E3" s="1127" t="s">
        <v>422</v>
      </c>
      <c r="F3" s="1098"/>
      <c r="G3" s="1099" t="s">
        <v>423</v>
      </c>
      <c r="H3" s="1128" t="s">
        <v>422</v>
      </c>
    </row>
    <row r="4" spans="1:13">
      <c r="A4" s="1074" t="s">
        <v>428</v>
      </c>
      <c r="B4" s="1048"/>
      <c r="C4" s="1034"/>
      <c r="D4" s="1129"/>
      <c r="E4" s="1097"/>
      <c r="F4" s="1034"/>
      <c r="G4" s="1129"/>
      <c r="H4" s="1097"/>
    </row>
    <row r="5" spans="1:13" ht="15" thickBot="1">
      <c r="A5" s="1074" t="s">
        <v>427</v>
      </c>
      <c r="C5" s="1101"/>
      <c r="D5" s="1102"/>
      <c r="F5" s="1101"/>
    </row>
    <row r="6" spans="1:13" ht="15" thickBot="1">
      <c r="B6" s="1130"/>
      <c r="C6" s="1637" t="s">
        <v>426</v>
      </c>
      <c r="D6" s="1638"/>
      <c r="E6" s="1639"/>
      <c r="F6" s="1637" t="s">
        <v>425</v>
      </c>
      <c r="G6" s="1638"/>
      <c r="H6" s="1639"/>
    </row>
    <row r="7" spans="1:13">
      <c r="A7" s="1103">
        <v>1</v>
      </c>
      <c r="B7" s="1131" t="s">
        <v>420</v>
      </c>
      <c r="C7" s="1034"/>
      <c r="D7" s="1102"/>
      <c r="E7" s="1109"/>
      <c r="F7" s="1034"/>
      <c r="G7" s="1102"/>
      <c r="H7" s="1109"/>
    </row>
    <row r="8" spans="1:13">
      <c r="A8" s="1108" t="s">
        <v>419</v>
      </c>
      <c r="B8" s="1111" t="s">
        <v>418</v>
      </c>
      <c r="D8" s="1132" t="e">
        <f>ROUND($D$9/12,7)</f>
        <v>#DIV/0!</v>
      </c>
      <c r="E8" s="1109" t="s">
        <v>582</v>
      </c>
      <c r="G8" s="1132" t="e">
        <f>ROUND($G$9/12,7)</f>
        <v>#VALUE!</v>
      </c>
      <c r="H8" s="1109" t="s">
        <v>582</v>
      </c>
    </row>
    <row r="9" spans="1:13">
      <c r="A9" s="1108"/>
      <c r="B9" s="1268" t="s">
        <v>584</v>
      </c>
      <c r="D9" s="1289" t="e">
        <f>ROUND(INDEX(Tabel4B[Afnameklanten op &gt;26-36 kV met AV ≥ 5MVA],1),7)</f>
        <v>#DIV/0!</v>
      </c>
      <c r="E9" s="1290" t="s">
        <v>417</v>
      </c>
      <c r="G9" s="1289" t="e">
        <f>ROUND(INDEX(Tabel4B[Afnameklanten op &gt;26-36 kV met AV &lt; 5MVA],1),7)</f>
        <v>#VALUE!</v>
      </c>
      <c r="H9" s="1290" t="s">
        <v>417</v>
      </c>
    </row>
    <row r="10" spans="1:13">
      <c r="A10" s="1108" t="s">
        <v>416</v>
      </c>
      <c r="B10" s="1111" t="s">
        <v>415</v>
      </c>
      <c r="D10" s="1132" t="e">
        <f>ROUND(INDEX(Tabel4B[Afnameklanten op &gt;26-36 kV met AV ≥ 5MVA],2),7)</f>
        <v>#DIV/0!</v>
      </c>
      <c r="E10" s="1109" t="s">
        <v>412</v>
      </c>
      <c r="G10" s="1132" t="e">
        <f>ROUND(INDEX(Tabel4B[Afnameklanten op &gt;26-36 kV met AV &lt; 5MVA],2),7)</f>
        <v>#VALUE!</v>
      </c>
      <c r="H10" s="1109" t="s">
        <v>412</v>
      </c>
    </row>
    <row r="11" spans="1:13" ht="50.5">
      <c r="A11" s="1108" t="s">
        <v>414</v>
      </c>
      <c r="B11" s="1133" t="s">
        <v>413</v>
      </c>
      <c r="C11" s="1114"/>
      <c r="D11" s="1132" t="e">
        <f>ROUND(INDEX(Tabel4B[Afnameklanten op &gt;26-36 kV met AV ≥ 5MVA],3),7)</f>
        <v>#DIV/0!</v>
      </c>
      <c r="E11" s="1109" t="s">
        <v>412</v>
      </c>
      <c r="F11" s="1114"/>
      <c r="G11" s="1132" t="e">
        <f>ROUND(INDEX(Tabel4B[Afnameklanten op &gt;26-36 kV met AV &lt; 5MVA],3),7)</f>
        <v>#VALUE!</v>
      </c>
      <c r="H11" s="1109" t="s">
        <v>412</v>
      </c>
    </row>
    <row r="12" spans="1:13">
      <c r="A12" s="1108"/>
      <c r="B12" s="1133"/>
      <c r="C12" s="1114"/>
      <c r="D12" s="1102"/>
      <c r="E12" s="1109"/>
      <c r="F12" s="1114"/>
      <c r="G12" s="1102"/>
      <c r="H12" s="1109"/>
    </row>
    <row r="13" spans="1:13">
      <c r="A13" s="1108">
        <v>2</v>
      </c>
      <c r="B13" s="1134" t="s">
        <v>411</v>
      </c>
      <c r="C13" s="1034"/>
      <c r="D13" s="1102"/>
      <c r="E13" s="1109"/>
      <c r="F13" s="1034"/>
      <c r="G13" s="1102"/>
      <c r="H13" s="1109"/>
    </row>
    <row r="14" spans="1:13" ht="26.5">
      <c r="A14" s="1108"/>
      <c r="B14" s="1133" t="s">
        <v>410</v>
      </c>
      <c r="D14" s="1298"/>
      <c r="E14" s="1109"/>
      <c r="G14" s="1298"/>
      <c r="H14" s="1109"/>
    </row>
    <row r="15" spans="1:13" ht="38.5">
      <c r="A15" s="1108"/>
      <c r="B15" s="1133" t="s">
        <v>409</v>
      </c>
      <c r="C15" s="593"/>
      <c r="D15" s="1132" t="e">
        <f>ROUND(INDEX(Tabel4B[Afnameklanten op &gt;26-36 kV met AV ≥ 5MVA],8),7)</f>
        <v>#VALUE!</v>
      </c>
      <c r="E15" s="1109" t="s">
        <v>408</v>
      </c>
      <c r="F15" s="593"/>
      <c r="G15" s="1132" t="e">
        <f>ROUND(INDEX(Tabel4B[Afnameklanten op &gt;26-36 kV met AV &lt; 5MVA],8),7)</f>
        <v>#VALUE!</v>
      </c>
      <c r="H15" s="1109" t="s">
        <v>408</v>
      </c>
    </row>
    <row r="16" spans="1:13">
      <c r="A16" s="1108"/>
      <c r="B16" s="1111"/>
      <c r="D16" s="1102"/>
      <c r="E16" s="1109"/>
      <c r="G16" s="1102"/>
      <c r="H16" s="1109"/>
    </row>
    <row r="17" spans="1:8">
      <c r="A17" s="1108">
        <v>3</v>
      </c>
      <c r="B17" s="1134" t="s">
        <v>407</v>
      </c>
      <c r="C17" s="1034"/>
      <c r="D17" s="1102"/>
      <c r="E17" s="1109"/>
      <c r="F17" s="1034"/>
      <c r="G17" s="1102"/>
      <c r="H17" s="1109"/>
    </row>
    <row r="18" spans="1:8">
      <c r="A18" s="1108"/>
      <c r="B18" s="1111" t="s">
        <v>565</v>
      </c>
      <c r="D18" s="1135" t="e">
        <f>ROUND(INDEX(Tabel4B[Afnameklanten op &gt;26-36 kV met AV ≥ 5MVA],9),2)</f>
        <v>#DIV/0!</v>
      </c>
      <c r="E18" s="1109" t="s">
        <v>406</v>
      </c>
      <c r="G18" s="1135" t="e">
        <f>ROUND(INDEX(Tabel4B[Afnameklanten op &gt;26-36 kV met AV &lt; 5MVA],9),2)</f>
        <v>#DIV/0!</v>
      </c>
      <c r="H18" s="1109" t="s">
        <v>406</v>
      </c>
    </row>
    <row r="19" spans="1:8">
      <c r="A19" s="1108"/>
      <c r="B19" s="1111"/>
      <c r="D19" s="1102"/>
      <c r="E19" s="1109"/>
      <c r="G19" s="1102"/>
      <c r="H19" s="1109"/>
    </row>
    <row r="20" spans="1:8">
      <c r="A20" s="1108">
        <v>4</v>
      </c>
      <c r="B20" s="1134" t="s">
        <v>405</v>
      </c>
      <c r="C20" s="1034"/>
      <c r="D20" s="1132" t="e">
        <f>ROUND(INDEX(Tabel4B[Afnameklanten op &gt;26-36 kV met AV ≥ 5MVA],15),7)</f>
        <v>#VALUE!</v>
      </c>
      <c r="E20" s="1109" t="s">
        <v>399</v>
      </c>
      <c r="F20" s="1034"/>
      <c r="G20" s="1132" t="e">
        <f>ROUND(INDEX(Tabel4B[Afnameklanten op &gt;26-36 kV met AV &lt; 5MVA],15),7)</f>
        <v>#VALUE!</v>
      </c>
      <c r="H20" s="1109" t="s">
        <v>399</v>
      </c>
    </row>
    <row r="21" spans="1:8">
      <c r="A21" s="1108"/>
      <c r="B21" s="1134"/>
      <c r="C21" s="1034"/>
      <c r="D21" s="1102"/>
      <c r="E21" s="1109"/>
      <c r="F21" s="1034"/>
      <c r="G21" s="1102"/>
      <c r="H21" s="1109"/>
    </row>
    <row r="22" spans="1:8">
      <c r="A22" s="1108">
        <v>5</v>
      </c>
      <c r="B22" s="1134" t="s">
        <v>404</v>
      </c>
      <c r="C22" s="1034"/>
      <c r="D22" s="1132" t="e">
        <f>ROUND(INDEX(Tabel4B[Afnameklanten op &gt;26-36 kV met AV ≥ 5MVA],17),7)</f>
        <v>#VALUE!</v>
      </c>
      <c r="E22" s="1109" t="s">
        <v>399</v>
      </c>
      <c r="F22" s="1034"/>
      <c r="G22" s="1132" t="e">
        <f>ROUND(INDEX(Tabel4B[Afnameklanten op &gt;26-36 kV met AV &lt; 5MVA],17),7)</f>
        <v>#VALUE!</v>
      </c>
      <c r="H22" s="1109" t="s">
        <v>399</v>
      </c>
    </row>
    <row r="23" spans="1:8">
      <c r="A23" s="1108"/>
      <c r="B23" s="1134"/>
      <c r="C23" s="1034"/>
      <c r="D23" s="1102"/>
      <c r="E23" s="1109"/>
      <c r="F23" s="1034"/>
      <c r="G23" s="1102"/>
      <c r="H23" s="1109"/>
    </row>
    <row r="24" spans="1:8">
      <c r="A24" s="1108">
        <v>6</v>
      </c>
      <c r="B24" s="1134" t="s">
        <v>403</v>
      </c>
      <c r="C24" s="1034"/>
      <c r="D24" s="1132" t="e">
        <f>ROUND(SUM(D$26:D$27),7)</f>
        <v>#DIV/0!</v>
      </c>
      <c r="E24" s="1109" t="s">
        <v>399</v>
      </c>
      <c r="F24" s="1034"/>
      <c r="G24" s="1132" t="e">
        <f>ROUND(SUM(G$26:G$27),7)</f>
        <v>#DIV/0!</v>
      </c>
      <c r="H24" s="1109" t="s">
        <v>399</v>
      </c>
    </row>
    <row r="25" spans="1:8">
      <c r="A25" s="1108"/>
      <c r="B25" s="1133" t="s">
        <v>402</v>
      </c>
      <c r="C25" s="1034"/>
      <c r="D25" s="1102"/>
      <c r="E25" s="1109"/>
      <c r="F25" s="1034"/>
      <c r="G25" s="1102"/>
      <c r="H25" s="1109"/>
    </row>
    <row r="26" spans="1:8" ht="29">
      <c r="A26" s="1108"/>
      <c r="B26" s="1136" t="s">
        <v>586</v>
      </c>
      <c r="C26" s="1101"/>
      <c r="D26" s="1132" t="e">
        <f>ROUND(INDEX(Tabel4B[Afnameklanten op &gt;26-36 kV met AV ≥ 5MVA],19),7)</f>
        <v>#DIV/0!</v>
      </c>
      <c r="E26" s="1137" t="s">
        <v>399</v>
      </c>
      <c r="F26" s="1101"/>
      <c r="G26" s="1132" t="e">
        <f>ROUND(INDEX(Tabel4B[Afnameklanten op &gt;26-36 kV met AV &lt; 5MVA],19),7)</f>
        <v>#DIV/0!</v>
      </c>
      <c r="H26" s="1137" t="s">
        <v>399</v>
      </c>
    </row>
    <row r="27" spans="1:8">
      <c r="A27" s="1108"/>
      <c r="B27" s="1138" t="s">
        <v>401</v>
      </c>
      <c r="C27" s="1101"/>
      <c r="D27" s="1132" t="e">
        <f>ROUND(INDEX(Tabel4B[Afnameklanten op &gt;26-36 kV met AV ≥ 5MVA],20),7)</f>
        <v>#DIV/0!</v>
      </c>
      <c r="E27" s="1137" t="s">
        <v>399</v>
      </c>
      <c r="F27" s="1101"/>
      <c r="G27" s="1132" t="e">
        <f>ROUND(INDEX(Tabel4B[Afnameklanten op &gt;26-36 kV met AV &lt; 5MVA],20),7)</f>
        <v>#DIV/0!</v>
      </c>
      <c r="H27" s="1137" t="s">
        <v>399</v>
      </c>
    </row>
    <row r="28" spans="1:8">
      <c r="A28" s="1108"/>
      <c r="B28" s="1134"/>
      <c r="C28" s="1034"/>
      <c r="D28" s="1102"/>
      <c r="E28" s="1109"/>
      <c r="F28" s="1034"/>
      <c r="G28" s="1102"/>
      <c r="H28" s="1109"/>
    </row>
    <row r="29" spans="1:8" ht="15" thickBot="1">
      <c r="A29" s="1119"/>
      <c r="B29" s="1139" t="s">
        <v>400</v>
      </c>
      <c r="C29" s="1121"/>
      <c r="D29" s="1140">
        <f>'Max Afname TRHS'!$O$15</f>
        <v>0</v>
      </c>
      <c r="E29" s="1141" t="s">
        <v>399</v>
      </c>
      <c r="F29" s="1121"/>
      <c r="G29" s="1140">
        <f>'Max Afname MS'!$O$15</f>
        <v>0</v>
      </c>
      <c r="H29" s="1141" t="s">
        <v>399</v>
      </c>
    </row>
    <row r="31" spans="1:8">
      <c r="A31" s="1285"/>
      <c r="B31" s="1291"/>
      <c r="C31" s="1279"/>
      <c r="D31" s="1278"/>
      <c r="E31" s="1285"/>
      <c r="F31" s="1279"/>
      <c r="G31" s="1278"/>
      <c r="H31" s="1278"/>
    </row>
    <row r="32" spans="1:8">
      <c r="A32" s="1285"/>
      <c r="B32" s="1291"/>
      <c r="C32" s="1279"/>
      <c r="D32" s="1278"/>
      <c r="E32" s="1285"/>
      <c r="F32" s="1279"/>
      <c r="G32" s="1278"/>
      <c r="H32" s="1278"/>
    </row>
    <row r="33" spans="1:8">
      <c r="A33" s="1285"/>
      <c r="B33" s="1291"/>
      <c r="C33" s="1279"/>
      <c r="D33" s="1278"/>
      <c r="E33" s="1285"/>
      <c r="F33" s="1279"/>
      <c r="G33" s="1278"/>
      <c r="H33" s="1278"/>
    </row>
    <row r="34" spans="1:8">
      <c r="A34" s="1285"/>
      <c r="B34" s="1291"/>
      <c r="C34" s="1279"/>
      <c r="D34" s="1278"/>
      <c r="E34" s="1285"/>
      <c r="F34" s="1279"/>
      <c r="G34" s="1278"/>
      <c r="H34" s="1278"/>
    </row>
    <row r="35" spans="1:8">
      <c r="A35" s="1285"/>
      <c r="B35" s="1291"/>
      <c r="C35" s="1279"/>
      <c r="D35" s="1278"/>
      <c r="E35" s="1285"/>
      <c r="F35" s="1279"/>
      <c r="G35" s="1278"/>
      <c r="H35" s="1278"/>
    </row>
    <row r="36" spans="1:8">
      <c r="A36" s="1285"/>
      <c r="B36" s="1291"/>
      <c r="C36" s="1279"/>
      <c r="D36" s="1278"/>
      <c r="E36" s="1285"/>
      <c r="F36" s="1279"/>
      <c r="G36" s="1278"/>
      <c r="H36" s="1278"/>
    </row>
    <row r="37" spans="1:8">
      <c r="A37" s="1285"/>
      <c r="B37" s="1291"/>
      <c r="C37" s="1279"/>
      <c r="D37" s="1278"/>
      <c r="E37" s="1285"/>
      <c r="F37" s="1279"/>
      <c r="G37" s="1278"/>
      <c r="H37" s="1278"/>
    </row>
    <row r="38" spans="1:8">
      <c r="A38" s="1285"/>
      <c r="B38" s="1291"/>
      <c r="C38" s="1279"/>
      <c r="D38" s="1278"/>
      <c r="E38" s="1285"/>
      <c r="F38" s="1279"/>
      <c r="G38" s="1278"/>
      <c r="H38" s="1278"/>
    </row>
    <row r="39" spans="1:8">
      <c r="A39" s="1285"/>
      <c r="B39" s="1291"/>
      <c r="C39" s="1279"/>
      <c r="D39" s="1278"/>
      <c r="E39" s="1285"/>
      <c r="F39" s="1279"/>
      <c r="G39" s="1278"/>
      <c r="H39" s="1278"/>
    </row>
    <row r="40" spans="1:8">
      <c r="A40" s="1285"/>
      <c r="B40" s="1291"/>
      <c r="C40" s="1279"/>
      <c r="D40" s="1278"/>
      <c r="E40" s="1285"/>
      <c r="F40" s="1279"/>
      <c r="G40" s="1278"/>
      <c r="H40" s="1278"/>
    </row>
    <row r="41" spans="1:8">
      <c r="A41" s="1285"/>
      <c r="B41" s="1291"/>
      <c r="C41" s="1279"/>
      <c r="D41" s="1278"/>
      <c r="E41" s="1285"/>
      <c r="F41" s="1279"/>
      <c r="G41" s="1278"/>
      <c r="H41" s="1278"/>
    </row>
    <row r="42" spans="1:8">
      <c r="A42" s="1285"/>
      <c r="B42" s="1291"/>
      <c r="C42" s="1279"/>
      <c r="D42" s="1278"/>
      <c r="E42" s="1285"/>
      <c r="F42" s="1279"/>
      <c r="G42" s="1278"/>
      <c r="H42" s="1278"/>
    </row>
    <row r="43" spans="1:8">
      <c r="A43" s="1285"/>
      <c r="B43" s="1291"/>
      <c r="C43" s="1279"/>
      <c r="D43" s="1278"/>
      <c r="E43" s="1285"/>
      <c r="F43" s="1279"/>
      <c r="G43" s="1278"/>
      <c r="H43" s="1278"/>
    </row>
    <row r="44" spans="1:8">
      <c r="A44" s="1285"/>
      <c r="B44" s="1291"/>
      <c r="C44" s="1279"/>
      <c r="D44" s="1278"/>
      <c r="E44" s="1285"/>
      <c r="F44" s="1279"/>
      <c r="G44" s="1278"/>
      <c r="H44" s="1278"/>
    </row>
    <row r="45" spans="1:8">
      <c r="A45" s="1285"/>
      <c r="B45" s="1291"/>
      <c r="C45" s="1279"/>
      <c r="D45" s="1278"/>
      <c r="E45" s="1285"/>
      <c r="F45" s="1279"/>
      <c r="G45" s="1278"/>
      <c r="H45" s="1278"/>
    </row>
    <row r="46" spans="1:8">
      <c r="A46" s="1285"/>
      <c r="B46" s="1291"/>
      <c r="C46" s="1279"/>
      <c r="D46" s="1278"/>
      <c r="E46" s="1285"/>
      <c r="F46" s="1279"/>
      <c r="G46" s="1278"/>
      <c r="H46" s="1278"/>
    </row>
    <row r="47" spans="1:8">
      <c r="A47" s="1285"/>
      <c r="B47" s="1291"/>
      <c r="C47" s="1279"/>
      <c r="D47" s="1278"/>
      <c r="E47" s="1285"/>
      <c r="F47" s="1279"/>
      <c r="G47" s="1278"/>
      <c r="H47" s="1278"/>
    </row>
    <row r="48" spans="1:8">
      <c r="A48" s="1285"/>
      <c r="B48" s="1291"/>
      <c r="C48" s="1279"/>
      <c r="D48" s="1278"/>
      <c r="E48" s="1285"/>
      <c r="F48" s="1279"/>
      <c r="G48" s="1278"/>
      <c r="H48" s="1278"/>
    </row>
    <row r="49" spans="1:8">
      <c r="A49" s="1285"/>
      <c r="B49" s="1291"/>
      <c r="C49" s="1279"/>
      <c r="D49" s="1278"/>
      <c r="E49" s="1285"/>
      <c r="F49" s="1279"/>
      <c r="G49" s="1278"/>
      <c r="H49" s="1278"/>
    </row>
    <row r="50" spans="1:8">
      <c r="A50" s="1285"/>
      <c r="B50" s="1291"/>
      <c r="C50" s="1279"/>
      <c r="D50" s="1278"/>
      <c r="E50" s="1285"/>
      <c r="F50" s="1279"/>
      <c r="G50" s="1278"/>
      <c r="H50" s="1278"/>
    </row>
    <row r="68" spans="1:8">
      <c r="B68" s="1048"/>
      <c r="C68" s="1034"/>
      <c r="F68" s="1034"/>
    </row>
    <row r="71" spans="1:8">
      <c r="B71" s="1048"/>
      <c r="C71" s="1034"/>
      <c r="F71" s="1034"/>
    </row>
    <row r="75" spans="1:8">
      <c r="B75" s="1048"/>
      <c r="C75" s="1034"/>
      <c r="F75" s="1034"/>
    </row>
    <row r="79" spans="1:8" s="1034" customFormat="1">
      <c r="A79" s="1097"/>
      <c r="B79" s="1048"/>
      <c r="D79" s="1031"/>
      <c r="E79" s="1097"/>
      <c r="G79" s="1031"/>
      <c r="H79" s="1031"/>
    </row>
    <row r="82" spans="2:6">
      <c r="B82" s="1048"/>
      <c r="C82" s="1034"/>
      <c r="F82" s="1034"/>
    </row>
    <row r="85" spans="2:6">
      <c r="B85" s="1048"/>
      <c r="C85" s="1034"/>
      <c r="F85" s="1034"/>
    </row>
    <row r="87" spans="2:6">
      <c r="B87" s="1048"/>
      <c r="C87" s="1034"/>
      <c r="F87" s="1034"/>
    </row>
    <row r="92" spans="2:6">
      <c r="B92" s="1048"/>
      <c r="C92" s="1034"/>
      <c r="F92" s="1034"/>
    </row>
    <row r="94" spans="2:6">
      <c r="B94" s="1048"/>
      <c r="C94" s="1034"/>
      <c r="F94" s="1034"/>
    </row>
    <row r="97" spans="2:6">
      <c r="B97" s="1048"/>
      <c r="C97" s="1034"/>
      <c r="F97" s="1034"/>
    </row>
    <row r="100" spans="2:6">
      <c r="B100" s="1048"/>
      <c r="C100" s="1034"/>
      <c r="F100" s="1034"/>
    </row>
    <row r="103" spans="2:6">
      <c r="B103" s="1048"/>
      <c r="C103" s="1034"/>
      <c r="F103" s="1034"/>
    </row>
    <row r="105" spans="2:6">
      <c r="B105" s="1048"/>
      <c r="C105" s="1034"/>
      <c r="F105" s="1034"/>
    </row>
    <row r="108" spans="2:6">
      <c r="B108" s="1048"/>
      <c r="C108" s="1034"/>
      <c r="F108" s="1034"/>
    </row>
  </sheetData>
  <sheetProtection algorithmName="SHA-512" hashValue="pcCGoQEL7xYOpoIRQMQlXC0d417e+LYEFTAuTSNqexDvLCegfRRu9BLyTfir3vCsV2tbBbJM4fGKEKtV1I0qew==" saltValue="vTrZ8hsL9Nv4K7CYZaQM1Q==" spinCount="100000" sheet="1" objects="1" scenarios="1"/>
  <mergeCells count="3">
    <mergeCell ref="F6:H6"/>
    <mergeCell ref="A1:H1"/>
    <mergeCell ref="C6:E6"/>
  </mergeCells>
  <pageMargins left="0.70866141732283472" right="0.70866141732283472" top="0.74803149606299213" bottom="0.7480314960629921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8DA-EEB3-4193-A750-B61B2C7F1B6A}">
  <sheetPr published="0">
    <pageSetUpPr fitToPage="1"/>
  </sheetPr>
  <dimension ref="A1:Q95"/>
  <sheetViews>
    <sheetView showGridLines="0" zoomScaleNormal="100" workbookViewId="0">
      <selection activeCell="A2" sqref="A2"/>
    </sheetView>
  </sheetViews>
  <sheetFormatPr defaultColWidth="9.1796875" defaultRowHeight="14.5"/>
  <cols>
    <col min="1" max="1" width="3.453125" style="1097" customWidth="1"/>
    <col min="2" max="2" width="97.26953125" style="6" customWidth="1"/>
    <col min="3" max="3" width="2.54296875" style="1" customWidth="1"/>
    <col min="4" max="4" width="15.54296875" style="1035" customWidth="1"/>
    <col min="5" max="5" width="15.1796875" style="1071" bestFit="1" customWidth="1"/>
    <col min="6" max="16384" width="9.1796875" style="1"/>
  </cols>
  <sheetData>
    <row r="1" spans="1:17" ht="15.4" customHeight="1"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 thickBot="1"/>
    <row r="3" spans="1:17" ht="15" thickBot="1">
      <c r="A3" s="1142" t="s">
        <v>431</v>
      </c>
      <c r="B3" s="1126"/>
      <c r="C3" s="1098"/>
      <c r="D3" s="1099" t="s">
        <v>423</v>
      </c>
      <c r="E3" s="1128" t="s">
        <v>422</v>
      </c>
    </row>
    <row r="4" spans="1:17">
      <c r="A4" s="1076" t="s">
        <v>430</v>
      </c>
      <c r="C4" s="1101"/>
      <c r="D4" s="1102"/>
    </row>
    <row r="5" spans="1:17" ht="15" thickBot="1">
      <c r="B5" s="1143"/>
      <c r="C5" s="1034"/>
      <c r="D5" s="1102"/>
    </row>
    <row r="6" spans="1:17">
      <c r="A6" s="1103">
        <v>1</v>
      </c>
      <c r="B6" s="1131" t="s">
        <v>420</v>
      </c>
      <c r="C6" s="1105"/>
      <c r="D6" s="1144"/>
      <c r="E6" s="1145"/>
    </row>
    <row r="7" spans="1:17">
      <c r="A7" s="1108" t="s">
        <v>419</v>
      </c>
      <c r="B7" s="1111" t="s">
        <v>418</v>
      </c>
      <c r="D7" s="1132" t="e">
        <f>ROUND($D$8/12,7)</f>
        <v>#VALUE!</v>
      </c>
      <c r="E7" s="1109" t="s">
        <v>582</v>
      </c>
      <c r="F7" s="1112"/>
    </row>
    <row r="8" spans="1:17">
      <c r="A8" s="1108"/>
      <c r="B8" s="1268" t="s">
        <v>584</v>
      </c>
      <c r="D8" s="1289" t="e">
        <f>ROUND(INDEX(Tabel4B[Afnameklanten op 26-1kV],1),7)</f>
        <v>#VALUE!</v>
      </c>
      <c r="E8" s="1290" t="s">
        <v>417</v>
      </c>
      <c r="F8" s="1112"/>
    </row>
    <row r="9" spans="1:17">
      <c r="A9" s="1108" t="s">
        <v>416</v>
      </c>
      <c r="B9" s="1111" t="s">
        <v>415</v>
      </c>
      <c r="D9" s="1132" t="e">
        <f>ROUND(INDEX(Tabel4B[Afnameklanten op 26-1kV],2),7)</f>
        <v>#VALUE!</v>
      </c>
      <c r="E9" s="1109" t="s">
        <v>412</v>
      </c>
      <c r="F9" s="1112"/>
    </row>
    <row r="10" spans="1:17" ht="38.5">
      <c r="A10" s="1108" t="s">
        <v>414</v>
      </c>
      <c r="B10" s="1133" t="s">
        <v>413</v>
      </c>
      <c r="C10" s="1114"/>
      <c r="D10" s="1132" t="e">
        <f>ROUND(INDEX(Tabel4B[Afnameklanten op 26-1kV],3),7)</f>
        <v>#VALUE!</v>
      </c>
      <c r="E10" s="1109" t="s">
        <v>412</v>
      </c>
      <c r="F10" s="1112"/>
    </row>
    <row r="11" spans="1:17">
      <c r="A11" s="1108"/>
      <c r="B11" s="1133"/>
      <c r="C11" s="1114"/>
      <c r="D11" s="1102"/>
      <c r="E11" s="1109"/>
      <c r="F11" s="1112"/>
    </row>
    <row r="12" spans="1:17" ht="28.5" customHeight="1">
      <c r="A12" s="1108">
        <v>2</v>
      </c>
      <c r="B12" s="1134" t="s">
        <v>411</v>
      </c>
      <c r="C12" s="1034"/>
      <c r="D12" s="1102"/>
      <c r="E12" s="1109"/>
    </row>
    <row r="13" spans="1:17">
      <c r="A13" s="1108"/>
      <c r="B13" s="1133" t="s">
        <v>410</v>
      </c>
      <c r="D13" s="1298"/>
      <c r="E13" s="1109"/>
    </row>
    <row r="14" spans="1:17" ht="38.5">
      <c r="A14" s="1108"/>
      <c r="B14" s="1133" t="s">
        <v>409</v>
      </c>
      <c r="C14" s="593"/>
      <c r="D14" s="1132" t="e">
        <f>ROUND(INDEX(Tabel4B[Afnameklanten op 26-1kV],8),7)</f>
        <v>#VALUE!</v>
      </c>
      <c r="E14" s="1109" t="s">
        <v>408</v>
      </c>
    </row>
    <row r="15" spans="1:17">
      <c r="A15" s="1108"/>
      <c r="B15" s="1111"/>
      <c r="D15" s="1102"/>
      <c r="E15" s="1109"/>
    </row>
    <row r="16" spans="1:17">
      <c r="A16" s="1108">
        <v>3</v>
      </c>
      <c r="B16" s="1134" t="s">
        <v>407</v>
      </c>
      <c r="C16" s="1034"/>
      <c r="D16" s="1102"/>
      <c r="E16" s="1109"/>
    </row>
    <row r="17" spans="1:6">
      <c r="A17" s="1108"/>
      <c r="B17" s="1111" t="s">
        <v>565</v>
      </c>
      <c r="D17" s="1135" t="e">
        <f>ROUND(INDEX(Tabel4B[Afnameklanten op 26-1kV],9),2)</f>
        <v>#DIV/0!</v>
      </c>
      <c r="E17" s="1109" t="s">
        <v>406</v>
      </c>
    </row>
    <row r="18" spans="1:6">
      <c r="A18" s="1108"/>
      <c r="B18" s="1111"/>
      <c r="D18" s="1102"/>
      <c r="E18" s="1109"/>
    </row>
    <row r="19" spans="1:6">
      <c r="A19" s="1108">
        <v>4</v>
      </c>
      <c r="B19" s="1134" t="s">
        <v>405</v>
      </c>
      <c r="C19" s="1034"/>
      <c r="D19" s="1132" t="e">
        <f>ROUND(INDEX(Tabel4B[Afnameklanten op 26-1kV],15),7)</f>
        <v>#VALUE!</v>
      </c>
      <c r="E19" s="1109" t="s">
        <v>399</v>
      </c>
    </row>
    <row r="20" spans="1:6">
      <c r="A20" s="1108"/>
      <c r="B20" s="1134"/>
      <c r="C20" s="1034"/>
      <c r="D20" s="1102"/>
      <c r="E20" s="1109"/>
    </row>
    <row r="21" spans="1:6">
      <c r="A21" s="1108">
        <v>5</v>
      </c>
      <c r="B21" s="1134" t="s">
        <v>404</v>
      </c>
      <c r="C21" s="1034"/>
      <c r="D21" s="1132" t="e">
        <f>ROUND(INDEX(Tabel4B[Afnameklanten op 26-1kV],17),7)</f>
        <v>#VALUE!</v>
      </c>
      <c r="E21" s="1109" t="s">
        <v>399</v>
      </c>
      <c r="F21" s="1112"/>
    </row>
    <row r="22" spans="1:6">
      <c r="A22" s="1108"/>
      <c r="B22" s="1134"/>
      <c r="C22" s="1034"/>
      <c r="D22" s="1102"/>
      <c r="E22" s="1109"/>
      <c r="F22" s="1112"/>
    </row>
    <row r="23" spans="1:6">
      <c r="A23" s="1108">
        <v>6</v>
      </c>
      <c r="B23" s="1134" t="s">
        <v>403</v>
      </c>
      <c r="C23" s="1034"/>
      <c r="D23" s="1132" t="e">
        <f>ROUND(SUM(D$25:D$26),7)</f>
        <v>#DIV/0!</v>
      </c>
      <c r="E23" s="1109" t="s">
        <v>399</v>
      </c>
    </row>
    <row r="24" spans="1:6">
      <c r="A24" s="1108"/>
      <c r="B24" s="1111" t="s">
        <v>402</v>
      </c>
      <c r="C24" s="1034"/>
      <c r="D24" s="1102"/>
      <c r="E24" s="1109"/>
    </row>
    <row r="25" spans="1:6">
      <c r="A25" s="1108"/>
      <c r="B25" s="1146" t="s">
        <v>540</v>
      </c>
      <c r="C25" s="1101"/>
      <c r="D25" s="1132" t="e">
        <f>ROUND(INDEX(Tabel4B[Afnameklanten op 26-1kV],19),7)</f>
        <v>#DIV/0!</v>
      </c>
      <c r="E25" s="1137" t="s">
        <v>399</v>
      </c>
    </row>
    <row r="26" spans="1:6">
      <c r="A26" s="1108"/>
      <c r="B26" s="1146" t="s">
        <v>401</v>
      </c>
      <c r="C26" s="1101"/>
      <c r="D26" s="1132" t="e">
        <f>ROUND(INDEX(Tabel4B[Afnameklanten op 26-1kV],20),7)</f>
        <v>#DIV/0!</v>
      </c>
      <c r="E26" s="1137" t="s">
        <v>399</v>
      </c>
    </row>
    <row r="27" spans="1:6">
      <c r="A27" s="1108"/>
      <c r="B27" s="1134"/>
      <c r="C27" s="1034"/>
      <c r="D27" s="1102"/>
      <c r="E27" s="1109"/>
    </row>
    <row r="28" spans="1:6" ht="15" thickBot="1">
      <c r="A28" s="1119"/>
      <c r="B28" s="1139" t="s">
        <v>400</v>
      </c>
      <c r="C28" s="1121"/>
      <c r="D28" s="1140">
        <f>'Max Afname MS'!$O$15</f>
        <v>0</v>
      </c>
      <c r="E28" s="1141" t="s">
        <v>399</v>
      </c>
    </row>
    <row r="30" spans="1:6">
      <c r="A30" s="1285"/>
      <c r="B30" s="1291"/>
      <c r="C30" s="1279"/>
      <c r="D30" s="1278"/>
      <c r="E30" s="1285"/>
    </row>
    <row r="31" spans="1:6">
      <c r="A31" s="1285"/>
      <c r="B31" s="1292"/>
      <c r="C31" s="1288"/>
      <c r="D31" s="1278"/>
      <c r="E31" s="1285"/>
    </row>
    <row r="32" spans="1:6">
      <c r="A32" s="1285"/>
      <c r="B32" s="1291"/>
      <c r="C32" s="1279"/>
      <c r="D32" s="1278"/>
      <c r="E32" s="1285"/>
    </row>
    <row r="33" spans="1:5">
      <c r="A33" s="1285"/>
      <c r="B33" s="1291"/>
      <c r="C33" s="1279"/>
      <c r="D33" s="1278"/>
      <c r="E33" s="1285"/>
    </row>
    <row r="34" spans="1:5">
      <c r="A34" s="1285"/>
      <c r="B34" s="1291"/>
      <c r="C34" s="1279"/>
      <c r="D34" s="1278"/>
      <c r="E34" s="1285"/>
    </row>
    <row r="35" spans="1:5">
      <c r="A35" s="1285"/>
      <c r="B35" s="1291"/>
      <c r="C35" s="1279"/>
      <c r="D35" s="1278"/>
      <c r="E35" s="1285"/>
    </row>
    <row r="36" spans="1:5">
      <c r="A36" s="1285"/>
      <c r="B36" s="1291"/>
      <c r="C36" s="1279"/>
      <c r="D36" s="1278"/>
      <c r="E36" s="1285"/>
    </row>
    <row r="37" spans="1:5">
      <c r="A37" s="1285"/>
      <c r="B37" s="1291"/>
      <c r="C37" s="1279"/>
      <c r="D37" s="1278"/>
      <c r="E37" s="1285"/>
    </row>
    <row r="38" spans="1:5">
      <c r="A38" s="1285"/>
      <c r="B38" s="1291"/>
      <c r="C38" s="1279"/>
      <c r="D38" s="1278"/>
      <c r="E38" s="1285"/>
    </row>
    <row r="39" spans="1:5">
      <c r="A39" s="1285"/>
      <c r="B39" s="1291"/>
      <c r="C39" s="1279"/>
      <c r="D39" s="1278"/>
      <c r="E39" s="1285"/>
    </row>
    <row r="40" spans="1:5">
      <c r="A40" s="1285"/>
      <c r="B40" s="1291"/>
      <c r="C40" s="1279"/>
      <c r="D40" s="1278"/>
      <c r="E40" s="1285"/>
    </row>
    <row r="41" spans="1:5">
      <c r="A41" s="1285"/>
      <c r="B41" s="1291"/>
      <c r="C41" s="1279"/>
      <c r="D41" s="1278"/>
      <c r="E41" s="1285"/>
    </row>
    <row r="42" spans="1:5">
      <c r="A42" s="1285"/>
      <c r="B42" s="1291"/>
      <c r="C42" s="1279"/>
      <c r="D42" s="1278"/>
      <c r="E42" s="1285"/>
    </row>
    <row r="43" spans="1:5">
      <c r="A43" s="1285"/>
      <c r="B43" s="1291"/>
      <c r="C43" s="1279"/>
      <c r="D43" s="1278"/>
      <c r="E43" s="1285"/>
    </row>
    <row r="44" spans="1:5">
      <c r="A44" s="1285"/>
      <c r="B44" s="1291"/>
      <c r="C44" s="1279"/>
      <c r="D44" s="1278"/>
      <c r="E44" s="1285"/>
    </row>
    <row r="45" spans="1:5">
      <c r="A45" s="1285"/>
      <c r="B45" s="1291"/>
      <c r="C45" s="1279"/>
      <c r="D45" s="1278"/>
      <c r="E45" s="1285"/>
    </row>
    <row r="46" spans="1:5">
      <c r="A46" s="1285"/>
      <c r="B46" s="1291"/>
      <c r="C46" s="1279"/>
      <c r="D46" s="1278"/>
      <c r="E46" s="1285"/>
    </row>
    <row r="47" spans="1:5">
      <c r="A47" s="1285"/>
      <c r="B47" s="1291"/>
      <c r="C47" s="1279"/>
      <c r="D47" s="1278"/>
      <c r="E47" s="1285"/>
    </row>
    <row r="48" spans="1:5">
      <c r="A48" s="1285"/>
      <c r="B48" s="1291"/>
      <c r="C48" s="1279"/>
      <c r="D48" s="1278"/>
      <c r="E48" s="1285"/>
    </row>
    <row r="49" spans="1:5">
      <c r="A49" s="1285"/>
      <c r="B49" s="1291"/>
      <c r="C49" s="1279"/>
      <c r="D49" s="1278"/>
      <c r="E49" s="1285"/>
    </row>
    <row r="55" spans="1:5">
      <c r="B55" s="1048"/>
      <c r="C55" s="1034"/>
    </row>
    <row r="58" spans="1:5">
      <c r="B58" s="1048"/>
      <c r="C58" s="1034"/>
    </row>
    <row r="62" spans="1:5">
      <c r="B62" s="1048"/>
      <c r="C62" s="1034"/>
    </row>
    <row r="65" spans="1:6" s="1034" customFormat="1">
      <c r="A65" s="1097"/>
      <c r="B65" s="6"/>
      <c r="C65" s="1"/>
      <c r="D65" s="1035"/>
      <c r="E65" s="1071"/>
      <c r="F65" s="1"/>
    </row>
    <row r="66" spans="1:6">
      <c r="B66" s="1048"/>
      <c r="C66" s="1034"/>
      <c r="D66" s="1031"/>
      <c r="E66" s="1097"/>
      <c r="F66" s="1034"/>
    </row>
    <row r="69" spans="1:6">
      <c r="B69" s="1048"/>
      <c r="C69" s="1034"/>
    </row>
    <row r="72" spans="1:6">
      <c r="B72" s="1048"/>
      <c r="C72" s="1034"/>
    </row>
    <row r="74" spans="1:6">
      <c r="B74" s="1048"/>
      <c r="C74" s="1034"/>
    </row>
    <row r="79" spans="1:6">
      <c r="B79" s="1048"/>
      <c r="C79" s="1034"/>
    </row>
    <row r="81" spans="2:3">
      <c r="B81" s="1048"/>
      <c r="C81" s="1034"/>
    </row>
    <row r="84" spans="2:3">
      <c r="B84" s="1048"/>
      <c r="C84" s="1034"/>
    </row>
    <row r="87" spans="2:3">
      <c r="B87" s="1048"/>
      <c r="C87" s="1034"/>
    </row>
    <row r="90" spans="2:3">
      <c r="B90" s="1048"/>
      <c r="C90" s="1034"/>
    </row>
    <row r="92" spans="2:3">
      <c r="B92" s="1048"/>
      <c r="C92" s="1034"/>
    </row>
    <row r="95" spans="2:3">
      <c r="B95" s="1048"/>
      <c r="C95" s="1034"/>
    </row>
  </sheetData>
  <sheetProtection algorithmName="SHA-512" hashValue="1KON4chIu9y6xMY3Udm1IFi2psIU7gWlcBQGYRqj58AHllWMVwq2vLKI2pxZP8jLHiDtTyCPt2xLZBUnJYF/Xw==" saltValue="jJpKYpgqPieQeYRBw8zvYQ=="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034D-C0E1-4407-A2E4-3E3C77C9C3D3}">
  <sheetPr published="0">
    <pageSetUpPr fitToPage="1"/>
  </sheetPr>
  <dimension ref="A1:Q54"/>
  <sheetViews>
    <sheetView showGridLines="0" zoomScaleNormal="100" workbookViewId="0">
      <selection activeCell="A2" sqref="A2"/>
    </sheetView>
  </sheetViews>
  <sheetFormatPr defaultColWidth="9.1796875" defaultRowHeight="14.5"/>
  <cols>
    <col min="1" max="1" width="3.453125" style="1097" customWidth="1"/>
    <col min="2" max="2" width="96.453125" style="6" customWidth="1"/>
    <col min="3" max="3" width="2.54296875" style="1" customWidth="1"/>
    <col min="4" max="4" width="15.54296875" style="1035" customWidth="1"/>
    <col min="5" max="5" width="15.54296875" style="1071" customWidth="1"/>
    <col min="6" max="16384" width="9.1796875" style="1"/>
  </cols>
  <sheetData>
    <row r="1" spans="1:17" ht="16"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 thickBot="1"/>
    <row r="3" spans="1:17" ht="15" thickBot="1">
      <c r="A3" s="1142" t="s">
        <v>446</v>
      </c>
      <c r="B3" s="584"/>
      <c r="C3" s="1098"/>
      <c r="D3" s="1099"/>
      <c r="E3" s="1128"/>
    </row>
    <row r="4" spans="1:17">
      <c r="A4" s="1074" t="s">
        <v>445</v>
      </c>
      <c r="C4" s="1101"/>
      <c r="D4" s="1102"/>
    </row>
    <row r="5" spans="1:17" ht="15" thickBot="1">
      <c r="B5" s="1048"/>
      <c r="C5" s="1034"/>
      <c r="D5" s="1102"/>
    </row>
    <row r="6" spans="1:17" ht="15" thickBot="1">
      <c r="A6" s="1142" t="s">
        <v>444</v>
      </c>
      <c r="B6" s="1126"/>
      <c r="C6" s="1147"/>
      <c r="D6" s="1148" t="s">
        <v>423</v>
      </c>
      <c r="E6" s="1100" t="s">
        <v>422</v>
      </c>
    </row>
    <row r="7" spans="1:17">
      <c r="A7" s="1103">
        <v>1</v>
      </c>
      <c r="B7" s="1149" t="s">
        <v>420</v>
      </c>
      <c r="C7" s="1150"/>
      <c r="D7" s="1144"/>
      <c r="E7" s="1145"/>
    </row>
    <row r="8" spans="1:17">
      <c r="A8" s="1108" t="s">
        <v>419</v>
      </c>
      <c r="B8" s="591" t="s">
        <v>418</v>
      </c>
      <c r="C8" s="1080"/>
      <c r="D8" s="1132" t="e">
        <f>ROUND($D$9/12,7)</f>
        <v>#VALUE!</v>
      </c>
      <c r="E8" s="1109" t="s">
        <v>582</v>
      </c>
      <c r="F8" s="1112"/>
    </row>
    <row r="9" spans="1:17">
      <c r="A9" s="1108"/>
      <c r="B9" s="1273" t="s">
        <v>584</v>
      </c>
      <c r="C9" s="1080"/>
      <c r="D9" s="1289" t="e">
        <f>ROUND(INDEX(Tabel4B[Afnameklanten op TRLS],1),7)</f>
        <v>#VALUE!</v>
      </c>
      <c r="E9" s="1290" t="s">
        <v>417</v>
      </c>
      <c r="F9" s="1112"/>
    </row>
    <row r="10" spans="1:17">
      <c r="A10" s="1108" t="s">
        <v>416</v>
      </c>
      <c r="B10" s="591" t="s">
        <v>415</v>
      </c>
      <c r="C10" s="1080"/>
      <c r="D10" s="1132" t="e">
        <f>ROUND(INDEX(Tabel4B[Afnameklanten op TRLS],2),7)</f>
        <v>#VALUE!</v>
      </c>
      <c r="E10" s="1109" t="s">
        <v>412</v>
      </c>
      <c r="F10" s="1112"/>
    </row>
    <row r="11" spans="1:17" ht="38.5">
      <c r="A11" s="1108" t="s">
        <v>414</v>
      </c>
      <c r="B11" s="593" t="s">
        <v>413</v>
      </c>
      <c r="C11" s="1151"/>
      <c r="D11" s="1132" t="e">
        <f>ROUND(INDEX(Tabel4B[Afnameklanten op TRLS],3),7)</f>
        <v>#VALUE!</v>
      </c>
      <c r="E11" s="1109" t="s">
        <v>412</v>
      </c>
      <c r="F11" s="1112"/>
    </row>
    <row r="12" spans="1:17">
      <c r="A12" s="1108"/>
      <c r="B12" s="593"/>
      <c r="C12" s="1151"/>
      <c r="D12" s="1102"/>
      <c r="E12" s="1109"/>
      <c r="F12" s="1112"/>
    </row>
    <row r="13" spans="1:17">
      <c r="A13" s="1108">
        <v>2</v>
      </c>
      <c r="B13" s="1143" t="s">
        <v>411</v>
      </c>
      <c r="C13" s="1152"/>
      <c r="D13" s="1102"/>
      <c r="E13" s="1109"/>
    </row>
    <row r="14" spans="1:17">
      <c r="A14" s="1108"/>
      <c r="B14" s="593" t="s">
        <v>410</v>
      </c>
      <c r="C14" s="1080"/>
      <c r="D14" s="1298"/>
      <c r="E14" s="1109" t="s">
        <v>443</v>
      </c>
    </row>
    <row r="15" spans="1:17" ht="38.5">
      <c r="A15" s="1108"/>
      <c r="B15" s="593" t="s">
        <v>409</v>
      </c>
      <c r="C15" s="1153"/>
      <c r="D15" s="1132" t="e">
        <f>ROUND(INDEX(Tabel4B[Afnameklanten op TRLS],8),7)</f>
        <v>#VALUE!</v>
      </c>
      <c r="E15" s="1109" t="s">
        <v>408</v>
      </c>
    </row>
    <row r="16" spans="1:17">
      <c r="A16" s="1108"/>
      <c r="B16" s="591"/>
      <c r="C16" s="1080"/>
      <c r="D16" s="1102"/>
      <c r="E16" s="1109"/>
    </row>
    <row r="17" spans="1:6">
      <c r="A17" s="1108">
        <v>3</v>
      </c>
      <c r="B17" s="1143" t="s">
        <v>407</v>
      </c>
      <c r="C17" s="1152"/>
      <c r="D17" s="1102"/>
      <c r="E17" s="1109"/>
    </row>
    <row r="18" spans="1:6">
      <c r="A18" s="1108"/>
      <c r="B18" s="591" t="s">
        <v>565</v>
      </c>
      <c r="C18" s="1080"/>
      <c r="D18" s="1135" t="e">
        <f>ROUND(INDEX(Tabel4B[Afnameklanten op TRLS],9),2)</f>
        <v>#DIV/0!</v>
      </c>
      <c r="E18" s="1109" t="s">
        <v>406</v>
      </c>
    </row>
    <row r="19" spans="1:6">
      <c r="A19" s="1108"/>
      <c r="B19" s="591"/>
      <c r="C19" s="1080"/>
      <c r="D19" s="1135"/>
      <c r="E19" s="1109"/>
    </row>
    <row r="20" spans="1:6">
      <c r="A20" s="1108">
        <v>4</v>
      </c>
      <c r="B20" s="1143" t="s">
        <v>405</v>
      </c>
      <c r="C20" s="1152"/>
      <c r="D20" s="1102"/>
      <c r="E20" s="1109"/>
    </row>
    <row r="21" spans="1:6">
      <c r="A21" s="1108"/>
      <c r="B21" s="591" t="s">
        <v>433</v>
      </c>
      <c r="C21" s="1080"/>
      <c r="D21" s="1132" t="e">
        <f>ROUND(INDEX(Tabel4B[Afnameklanten op TRLS],15),7)</f>
        <v>#VALUE!</v>
      </c>
      <c r="E21" s="1109" t="s">
        <v>399</v>
      </c>
    </row>
    <row r="22" spans="1:6">
      <c r="A22" s="1108"/>
      <c r="B22" s="591" t="s">
        <v>432</v>
      </c>
      <c r="C22" s="1080"/>
      <c r="D22" s="1132" t="e">
        <f>ROUND(INDEX(Tabel4B[Afnameklanten op TRLS],16),7)</f>
        <v>#VALUE!</v>
      </c>
      <c r="E22" s="1109" t="s">
        <v>399</v>
      </c>
    </row>
    <row r="23" spans="1:6">
      <c r="A23" s="1108"/>
      <c r="B23" s="1143"/>
      <c r="C23" s="1152"/>
      <c r="D23" s="1102"/>
      <c r="E23" s="1109"/>
    </row>
    <row r="24" spans="1:6">
      <c r="A24" s="1108">
        <v>5</v>
      </c>
      <c r="B24" s="1143" t="s">
        <v>404</v>
      </c>
      <c r="C24" s="1152"/>
      <c r="D24" s="1132" t="e">
        <f>ROUND(INDEX(Tabel4B[Afnameklanten op TRLS],17),7)</f>
        <v>#VALUE!</v>
      </c>
      <c r="E24" s="1109" t="s">
        <v>399</v>
      </c>
      <c r="F24" s="1112"/>
    </row>
    <row r="25" spans="1:6">
      <c r="A25" s="1108"/>
      <c r="B25" s="1143"/>
      <c r="C25" s="1152"/>
      <c r="D25" s="1102"/>
      <c r="E25" s="1109"/>
      <c r="F25" s="1112"/>
    </row>
    <row r="26" spans="1:6">
      <c r="A26" s="1108">
        <v>6</v>
      </c>
      <c r="B26" s="1143" t="s">
        <v>442</v>
      </c>
      <c r="C26" s="1152"/>
      <c r="D26" s="1132" t="e">
        <f>ROUND(SUM(D$28:D$29),7)</f>
        <v>#DIV/0!</v>
      </c>
      <c r="E26" s="1109" t="s">
        <v>399</v>
      </c>
    </row>
    <row r="27" spans="1:6">
      <c r="A27" s="1108"/>
      <c r="B27" s="591" t="s">
        <v>402</v>
      </c>
      <c r="C27" s="1152"/>
      <c r="D27" s="1102"/>
      <c r="E27" s="1109"/>
    </row>
    <row r="28" spans="1:6">
      <c r="A28" s="1108"/>
      <c r="B28" s="6" t="s">
        <v>540</v>
      </c>
      <c r="C28" s="1154"/>
      <c r="D28" s="1132" t="e">
        <f>ROUND(INDEX(Tabel4B[Afnameklanten op TRLS],19),7)</f>
        <v>#DIV/0!</v>
      </c>
      <c r="E28" s="1137" t="s">
        <v>399</v>
      </c>
    </row>
    <row r="29" spans="1:6">
      <c r="A29" s="1108"/>
      <c r="B29" s="6" t="s">
        <v>401</v>
      </c>
      <c r="C29" s="1154"/>
      <c r="D29" s="1132" t="e">
        <f>ROUND(INDEX(Tabel4B[Afnameklanten op TRLS],20),7)</f>
        <v>#DIV/0!</v>
      </c>
      <c r="E29" s="1137" t="s">
        <v>399</v>
      </c>
    </row>
    <row r="30" spans="1:6">
      <c r="A30" s="1108"/>
      <c r="B30" s="1143"/>
      <c r="C30" s="1152"/>
      <c r="D30" s="1102"/>
      <c r="E30" s="1109"/>
    </row>
    <row r="31" spans="1:6" ht="15" thickBot="1">
      <c r="A31" s="1119"/>
      <c r="B31" s="1155" t="s">
        <v>400</v>
      </c>
      <c r="C31" s="1156"/>
      <c r="D31" s="1140">
        <f>'Max Afname TRLS'!$O$15</f>
        <v>0</v>
      </c>
      <c r="E31" s="1141" t="s">
        <v>399</v>
      </c>
    </row>
    <row r="33" spans="1:5">
      <c r="A33" s="1293"/>
      <c r="B33" s="1294"/>
      <c r="C33" s="1295"/>
      <c r="D33" s="1275"/>
      <c r="E33" s="1296"/>
    </row>
    <row r="34" spans="1:5">
      <c r="A34" s="1293"/>
      <c r="B34" s="1297"/>
      <c r="C34" s="1276"/>
      <c r="D34" s="1275"/>
      <c r="E34" s="1296"/>
    </row>
    <row r="35" spans="1:5">
      <c r="A35" s="1293"/>
      <c r="B35" s="1297"/>
      <c r="C35" s="1276"/>
      <c r="D35" s="1275"/>
      <c r="E35" s="1296"/>
    </row>
    <row r="36" spans="1:5">
      <c r="A36" s="1293"/>
      <c r="B36" s="1297"/>
      <c r="C36" s="1276"/>
      <c r="D36" s="1275"/>
      <c r="E36" s="1296"/>
    </row>
    <row r="37" spans="1:5">
      <c r="A37" s="1293"/>
      <c r="B37" s="1297"/>
      <c r="C37" s="1276"/>
      <c r="D37" s="1275"/>
      <c r="E37" s="1296"/>
    </row>
    <row r="38" spans="1:5">
      <c r="A38" s="1293"/>
      <c r="B38" s="1294"/>
      <c r="C38" s="1295"/>
      <c r="D38" s="1275"/>
      <c r="E38" s="1296"/>
    </row>
    <row r="39" spans="1:5">
      <c r="A39" s="1293"/>
      <c r="B39" s="1297"/>
      <c r="C39" s="1276"/>
      <c r="D39" s="1275"/>
      <c r="E39" s="1296"/>
    </row>
    <row r="40" spans="1:5">
      <c r="A40" s="1293"/>
      <c r="B40" s="1294"/>
      <c r="C40" s="1295"/>
      <c r="D40" s="1275"/>
      <c r="E40" s="1296"/>
    </row>
    <row r="41" spans="1:5">
      <c r="A41" s="1293"/>
      <c r="B41" s="1297"/>
      <c r="C41" s="1276"/>
      <c r="D41" s="1275"/>
      <c r="E41" s="1296"/>
    </row>
    <row r="42" spans="1:5">
      <c r="A42" s="1293"/>
      <c r="B42" s="1297"/>
      <c r="C42" s="1276"/>
      <c r="D42" s="1275"/>
      <c r="E42" s="1296"/>
    </row>
    <row r="43" spans="1:5">
      <c r="A43" s="1293"/>
      <c r="B43" s="1294"/>
      <c r="C43" s="1295"/>
      <c r="D43" s="1275"/>
      <c r="E43" s="1296"/>
    </row>
    <row r="44" spans="1:5">
      <c r="A44" s="1293"/>
      <c r="B44" s="1297"/>
      <c r="C44" s="1276"/>
      <c r="D44" s="1275"/>
      <c r="E44" s="1296"/>
    </row>
    <row r="45" spans="1:5">
      <c r="A45" s="1293"/>
      <c r="B45" s="1297"/>
      <c r="C45" s="1276"/>
      <c r="D45" s="1275"/>
      <c r="E45" s="1296"/>
    </row>
    <row r="46" spans="1:5">
      <c r="A46" s="1293"/>
      <c r="B46" s="1294"/>
      <c r="C46" s="1295"/>
      <c r="D46" s="1275"/>
      <c r="E46" s="1296"/>
    </row>
    <row r="47" spans="1:5">
      <c r="A47" s="1293"/>
      <c r="B47" s="1297"/>
      <c r="C47" s="1276"/>
      <c r="D47" s="1275"/>
      <c r="E47" s="1296"/>
    </row>
    <row r="48" spans="1:5">
      <c r="A48" s="1293"/>
      <c r="B48" s="1297"/>
      <c r="C48" s="1276"/>
      <c r="D48" s="1275"/>
      <c r="E48" s="1296"/>
    </row>
    <row r="49" spans="1:5">
      <c r="A49" s="1293"/>
      <c r="B49" s="1294"/>
      <c r="C49" s="1295"/>
      <c r="D49" s="1275"/>
      <c r="E49" s="1296"/>
    </row>
    <row r="50" spans="1:5">
      <c r="A50" s="1293"/>
      <c r="B50" s="1297"/>
      <c r="C50" s="1276"/>
      <c r="D50" s="1275"/>
      <c r="E50" s="1296"/>
    </row>
    <row r="51" spans="1:5">
      <c r="A51" s="1293"/>
      <c r="B51" s="1294"/>
      <c r="C51" s="1295"/>
      <c r="D51" s="1275"/>
      <c r="E51" s="1296"/>
    </row>
    <row r="52" spans="1:5">
      <c r="A52" s="1293"/>
      <c r="B52" s="1297"/>
      <c r="C52" s="1276"/>
      <c r="D52" s="1275"/>
      <c r="E52" s="1296"/>
    </row>
    <row r="54" spans="1:5">
      <c r="B54" s="1048"/>
      <c r="C54" s="1034"/>
    </row>
  </sheetData>
  <sheetProtection algorithmName="SHA-512" hashValue="Hpk4HT/mXP9N/QZDW+fEu8UTdTNl+qkHU7ivOcTNolzEweLRR7A9V22+NgH1k+75gKOJEmopdR4Jx8sPvjkSpQ==" saltValue="mS9ah2iMKYVTS4zPTAzLfw==" spinCount="100000" sheet="1" objects="1" scenarios="1"/>
  <mergeCells count="1">
    <mergeCell ref="A1:E1"/>
  </mergeCells>
  <pageMargins left="0.70866141732283472" right="0.70866141732283472" top="0.74803149606299213" bottom="0.74803149606299213" header="0.31496062992125984" footer="0.31496062992125984"/>
  <pageSetup paperSize="9" scale="60" fitToWidth="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384-EEC6-4ED7-BA35-85EE1052D038}">
  <sheetPr published="0">
    <pageSetUpPr fitToPage="1"/>
  </sheetPr>
  <dimension ref="A1:Q90"/>
  <sheetViews>
    <sheetView showGridLines="0" zoomScaleNormal="100" workbookViewId="0">
      <selection activeCell="A2" sqref="A2"/>
    </sheetView>
  </sheetViews>
  <sheetFormatPr defaultColWidth="9.1796875" defaultRowHeight="14.5"/>
  <cols>
    <col min="1" max="1" width="3.453125" style="1097" customWidth="1"/>
    <col min="2" max="2" width="101.54296875" style="1166" customWidth="1"/>
    <col min="3" max="3" width="2.54296875" style="1" customWidth="1"/>
    <col min="4" max="4" width="15.54296875" style="1035" customWidth="1"/>
    <col min="5" max="5" width="15.54296875" style="1071" customWidth="1"/>
    <col min="6" max="16384" width="9.1796875" style="1"/>
  </cols>
  <sheetData>
    <row r="1" spans="1:17" ht="15.4" customHeight="1"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 thickBot="1"/>
    <row r="3" spans="1:17" ht="15" thickBot="1">
      <c r="A3" s="1646" t="s">
        <v>452</v>
      </c>
      <c r="B3" s="1647"/>
      <c r="C3" s="1098"/>
      <c r="D3" s="1099" t="s">
        <v>423</v>
      </c>
      <c r="E3" s="1128" t="s">
        <v>422</v>
      </c>
    </row>
    <row r="4" spans="1:17">
      <c r="A4" s="1130" t="s">
        <v>451</v>
      </c>
      <c r="C4" s="1101"/>
      <c r="D4" s="1102"/>
    </row>
    <row r="5" spans="1:17" ht="15" thickBot="1">
      <c r="B5" s="1167"/>
      <c r="C5" s="1034"/>
      <c r="D5" s="1102"/>
    </row>
    <row r="6" spans="1:17" ht="15" thickBot="1">
      <c r="A6" s="1168" t="s">
        <v>578</v>
      </c>
      <c r="B6" s="1169"/>
      <c r="C6" s="584"/>
      <c r="D6" s="1170" t="s">
        <v>423</v>
      </c>
      <c r="E6" s="1171" t="s">
        <v>422</v>
      </c>
    </row>
    <row r="7" spans="1:17">
      <c r="A7" s="1103">
        <v>1</v>
      </c>
      <c r="B7" s="1172" t="s">
        <v>420</v>
      </c>
      <c r="C7" s="1105"/>
      <c r="D7" s="1144"/>
      <c r="E7" s="1145"/>
    </row>
    <row r="8" spans="1:17" ht="32.25" customHeight="1">
      <c r="A8" s="1108" t="s">
        <v>419</v>
      </c>
      <c r="B8" s="1113" t="s">
        <v>450</v>
      </c>
      <c r="D8" s="1132" t="e">
        <f>ROUND(INDEX(Tabel4B[Afnameklanten op LS met piekmeting],4),7)</f>
        <v>#DIV/0!</v>
      </c>
      <c r="E8" s="1109" t="s">
        <v>435</v>
      </c>
      <c r="F8" s="1112"/>
    </row>
    <row r="9" spans="1:17" ht="32.25" customHeight="1">
      <c r="A9" s="1108"/>
      <c r="B9" s="1284" t="s">
        <v>584</v>
      </c>
      <c r="D9" s="1289" t="e">
        <f>ROUND($D$8/12,7)</f>
        <v>#DIV/0!</v>
      </c>
      <c r="E9" s="1290" t="s">
        <v>412</v>
      </c>
      <c r="F9" s="1112"/>
    </row>
    <row r="10" spans="1:17">
      <c r="A10" s="1108" t="s">
        <v>416</v>
      </c>
      <c r="B10" s="1113" t="s">
        <v>433</v>
      </c>
      <c r="D10" s="1132" t="e">
        <f>ROUND(INDEX(Tabel4B[Afnameklanten op LS met piekmeting],6),7)</f>
        <v>#DIV/0!</v>
      </c>
      <c r="E10" s="1109" t="s">
        <v>399</v>
      </c>
      <c r="F10" s="1112"/>
    </row>
    <row r="11" spans="1:17">
      <c r="A11" s="1108"/>
      <c r="B11" s="1113"/>
      <c r="D11" s="1102"/>
      <c r="E11" s="1109"/>
    </row>
    <row r="12" spans="1:17">
      <c r="A12" s="1108">
        <v>2</v>
      </c>
      <c r="B12" s="1173" t="s">
        <v>407</v>
      </c>
      <c r="C12" s="1034"/>
      <c r="D12" s="1102"/>
      <c r="E12" s="1109"/>
    </row>
    <row r="13" spans="1:17">
      <c r="A13" s="1108"/>
      <c r="B13" s="1111" t="s">
        <v>565</v>
      </c>
      <c r="D13" s="1135" t="e">
        <f>ROUND(INDEX(Tabel4B[Afnameklanten op LS met piekmeting],9),2)</f>
        <v>#DIV/0!</v>
      </c>
      <c r="E13" s="1109" t="s">
        <v>406</v>
      </c>
    </row>
    <row r="14" spans="1:17">
      <c r="A14" s="1108"/>
      <c r="B14" s="1111" t="s">
        <v>566</v>
      </c>
      <c r="D14" s="1135" t="e">
        <f>ROUND(INDEX(Tabel4B[Afnameklanten op LS met piekmeting],12),2)</f>
        <v>#DIV/0!</v>
      </c>
      <c r="E14" s="1109" t="s">
        <v>406</v>
      </c>
    </row>
    <row r="15" spans="1:17">
      <c r="A15" s="1108"/>
      <c r="B15" s="1111" t="s">
        <v>567</v>
      </c>
      <c r="D15" s="1135" t="e">
        <f>ROUND(INDEX(Tabel4B[Afnameklanten op LS met piekmeting],11),2)</f>
        <v>#DIV/0!</v>
      </c>
      <c r="E15" s="1109" t="s">
        <v>406</v>
      </c>
    </row>
    <row r="16" spans="1:17">
      <c r="A16" s="1108"/>
      <c r="B16" s="1113"/>
      <c r="D16" s="1102"/>
      <c r="E16" s="1109"/>
    </row>
    <row r="17" spans="1:6">
      <c r="A17" s="1108">
        <v>3</v>
      </c>
      <c r="B17" s="1173" t="s">
        <v>405</v>
      </c>
      <c r="C17" s="1034"/>
      <c r="D17" s="1102"/>
      <c r="E17" s="1109"/>
    </row>
    <row r="18" spans="1:6">
      <c r="A18" s="1108"/>
      <c r="B18" s="1113" t="s">
        <v>433</v>
      </c>
      <c r="C18" s="1034"/>
      <c r="D18" s="1132" t="e">
        <f>ROUND(INDEX(Tabel4B[Afnameklanten op LS met piekmeting],15),7)</f>
        <v>#VALUE!</v>
      </c>
      <c r="E18" s="1109" t="s">
        <v>399</v>
      </c>
    </row>
    <row r="19" spans="1:6">
      <c r="A19" s="1108"/>
      <c r="B19" s="1113" t="s">
        <v>432</v>
      </c>
      <c r="C19" s="1034"/>
      <c r="D19" s="1132" t="e">
        <f>ROUND(INDEX(Tabel4B[Afnameklanten op LS met piekmeting],16),7)</f>
        <v>#VALUE!</v>
      </c>
      <c r="E19" s="1109" t="s">
        <v>399</v>
      </c>
    </row>
    <row r="20" spans="1:6">
      <c r="A20" s="1108"/>
      <c r="B20" s="1173"/>
      <c r="C20" s="1034"/>
      <c r="D20" s="1102"/>
      <c r="E20" s="1109"/>
    </row>
    <row r="21" spans="1:6">
      <c r="A21" s="1108">
        <v>4</v>
      </c>
      <c r="B21" s="1173" t="s">
        <v>404</v>
      </c>
      <c r="C21" s="1034"/>
      <c r="D21" s="1132" t="e">
        <f>ROUND(INDEX(Tabel4B[Afnameklanten op LS met piekmeting],17),7)</f>
        <v>#VALUE!</v>
      </c>
      <c r="E21" s="1109" t="s">
        <v>399</v>
      </c>
      <c r="F21" s="1112"/>
    </row>
    <row r="22" spans="1:6">
      <c r="A22" s="1108"/>
      <c r="B22" s="1173"/>
      <c r="C22" s="1034"/>
      <c r="D22" s="1102"/>
      <c r="E22" s="1109"/>
      <c r="F22" s="1112"/>
    </row>
    <row r="23" spans="1:6">
      <c r="A23" s="1108">
        <v>5</v>
      </c>
      <c r="B23" s="1173" t="s">
        <v>442</v>
      </c>
      <c r="C23" s="1034"/>
      <c r="D23" s="1132" t="e">
        <f>ROUND(SUM(D$25:D$26),7)</f>
        <v>#DIV/0!</v>
      </c>
      <c r="E23" s="1109" t="s">
        <v>399</v>
      </c>
    </row>
    <row r="24" spans="1:6">
      <c r="A24" s="1108"/>
      <c r="B24" s="1113" t="s">
        <v>402</v>
      </c>
      <c r="C24" s="1034"/>
      <c r="D24" s="1102"/>
      <c r="E24" s="1109"/>
    </row>
    <row r="25" spans="1:6">
      <c r="A25" s="1108"/>
      <c r="B25" s="1157" t="s">
        <v>540</v>
      </c>
      <c r="C25" s="1101"/>
      <c r="D25" s="1132" t="e">
        <f>ROUND(INDEX(Tabel4B[Afnameklanten op LS met piekmeting],19),7)</f>
        <v>#DIV/0!</v>
      </c>
      <c r="E25" s="1137" t="s">
        <v>399</v>
      </c>
    </row>
    <row r="26" spans="1:6">
      <c r="A26" s="1108"/>
      <c r="B26" s="1157" t="s">
        <v>401</v>
      </c>
      <c r="C26" s="1101"/>
      <c r="D26" s="1132" t="e">
        <f>ROUND(INDEX(Tabel4B[Afnameklanten op LS met piekmeting],20),7)</f>
        <v>#DIV/0!</v>
      </c>
      <c r="E26" s="1137" t="s">
        <v>399</v>
      </c>
    </row>
    <row r="27" spans="1:6">
      <c r="A27" s="1108"/>
      <c r="B27" s="1173"/>
      <c r="C27" s="1034"/>
      <c r="D27" s="1102"/>
      <c r="E27" s="1109"/>
    </row>
    <row r="28" spans="1:6" ht="15" thickBot="1">
      <c r="A28" s="1119"/>
      <c r="B28" s="1120" t="s">
        <v>449</v>
      </c>
      <c r="C28" s="1121"/>
      <c r="D28" s="1140">
        <f>'Max Afname LS'!$K$14</f>
        <v>0</v>
      </c>
      <c r="E28" s="1141" t="s">
        <v>399</v>
      </c>
    </row>
    <row r="29" spans="1:6" ht="15" thickBot="1">
      <c r="B29" s="590"/>
    </row>
    <row r="30" spans="1:6" ht="15" thickBot="1">
      <c r="A30" s="1142" t="s">
        <v>477</v>
      </c>
      <c r="B30" s="1169"/>
      <c r="C30" s="584"/>
      <c r="D30" s="1170" t="s">
        <v>423</v>
      </c>
      <c r="E30" s="1171" t="s">
        <v>422</v>
      </c>
    </row>
    <row r="31" spans="1:6">
      <c r="A31" s="1103">
        <v>1</v>
      </c>
      <c r="B31" s="1172" t="s">
        <v>420</v>
      </c>
      <c r="C31" s="1105"/>
      <c r="D31" s="1144"/>
      <c r="E31" s="1145"/>
    </row>
    <row r="32" spans="1:6" ht="27" customHeight="1">
      <c r="A32" s="1108" t="s">
        <v>419</v>
      </c>
      <c r="B32" s="1113" t="s">
        <v>448</v>
      </c>
      <c r="C32" s="161"/>
      <c r="D32" s="1163" t="e">
        <f>ROUND(INDEX(Tabel4B[Afnameklanten op LS met klassieke meter],5),2)</f>
        <v>#DIV/0!</v>
      </c>
      <c r="E32" s="1109" t="s">
        <v>447</v>
      </c>
      <c r="F32" s="1112"/>
    </row>
    <row r="33" spans="1:6">
      <c r="A33" s="1108" t="s">
        <v>416</v>
      </c>
      <c r="B33" s="1113" t="s">
        <v>433</v>
      </c>
      <c r="C33" s="161"/>
      <c r="D33" s="1160" t="e">
        <f>ROUND(INDEX(Tabel4B[Afnameklanten op LS met klassieke meter],6),7)</f>
        <v>#DIV/0!</v>
      </c>
      <c r="E33" s="1109" t="s">
        <v>399</v>
      </c>
      <c r="F33" s="1112"/>
    </row>
    <row r="34" spans="1:6">
      <c r="A34" s="1108"/>
      <c r="B34" s="1113"/>
      <c r="C34" s="161"/>
      <c r="D34" s="1158"/>
      <c r="E34" s="1109"/>
    </row>
    <row r="35" spans="1:6">
      <c r="A35" s="1108">
        <v>2</v>
      </c>
      <c r="B35" s="1173" t="s">
        <v>407</v>
      </c>
      <c r="C35" s="1159"/>
      <c r="D35" s="1158"/>
      <c r="E35" s="1109"/>
    </row>
    <row r="36" spans="1:6">
      <c r="A36" s="1108"/>
      <c r="B36" s="1113" t="s">
        <v>567</v>
      </c>
      <c r="C36" s="161"/>
      <c r="D36" s="1163" t="e">
        <f>ROUND(INDEX(Tabel4B[Afnameklanten op LS met klassieke meter],13),2)</f>
        <v>#DIV/0!</v>
      </c>
      <c r="E36" s="1109" t="s">
        <v>406</v>
      </c>
    </row>
    <row r="37" spans="1:6">
      <c r="A37" s="1108"/>
      <c r="B37" s="1113"/>
      <c r="C37" s="161"/>
      <c r="D37" s="1158"/>
      <c r="E37" s="1109"/>
    </row>
    <row r="38" spans="1:6">
      <c r="A38" s="1108">
        <v>3</v>
      </c>
      <c r="B38" s="1173" t="s">
        <v>405</v>
      </c>
      <c r="C38" s="1159"/>
      <c r="D38" s="1158"/>
      <c r="E38" s="1109"/>
    </row>
    <row r="39" spans="1:6">
      <c r="A39" s="1108"/>
      <c r="B39" s="1113" t="s">
        <v>433</v>
      </c>
      <c r="C39" s="1159"/>
      <c r="D39" s="1160" t="e">
        <f>ROUND(INDEX(Tabel4B[Afnameklanten op LS met klassieke meter],15),7)</f>
        <v>#VALUE!</v>
      </c>
      <c r="E39" s="1109" t="s">
        <v>399</v>
      </c>
    </row>
    <row r="40" spans="1:6">
      <c r="A40" s="1108"/>
      <c r="B40" s="1113" t="s">
        <v>432</v>
      </c>
      <c r="C40" s="1159"/>
      <c r="D40" s="1160" t="e">
        <f>ROUND(INDEX(Tabel4B[Afnameklanten op LS met klassieke meter],16),7)</f>
        <v>#VALUE!</v>
      </c>
      <c r="E40" s="1109" t="s">
        <v>399</v>
      </c>
    </row>
    <row r="41" spans="1:6">
      <c r="A41" s="1108"/>
      <c r="B41" s="1173"/>
      <c r="C41" s="1159"/>
      <c r="D41" s="1158"/>
      <c r="E41" s="1109"/>
    </row>
    <row r="42" spans="1:6">
      <c r="A42" s="1108">
        <v>4</v>
      </c>
      <c r="B42" s="1173" t="s">
        <v>404</v>
      </c>
      <c r="C42" s="1159"/>
      <c r="D42" s="1160" t="e">
        <f>ROUND(INDEX(Tabel4B[Afnameklanten op LS met klassieke meter],17),7)</f>
        <v>#VALUE!</v>
      </c>
      <c r="E42" s="1109" t="s">
        <v>399</v>
      </c>
      <c r="F42" s="1112"/>
    </row>
    <row r="43" spans="1:6">
      <c r="A43" s="1108"/>
      <c r="B43" s="1173"/>
      <c r="C43" s="1159"/>
      <c r="D43" s="1158"/>
      <c r="E43" s="1109"/>
      <c r="F43" s="1112"/>
    </row>
    <row r="44" spans="1:6">
      <c r="A44" s="1108">
        <v>5</v>
      </c>
      <c r="B44" s="1173" t="s">
        <v>442</v>
      </c>
      <c r="C44" s="1159"/>
      <c r="D44" s="1160" t="e">
        <f>ROUND(SUM(D$46:D$47),7)</f>
        <v>#DIV/0!</v>
      </c>
      <c r="E44" s="1109" t="s">
        <v>399</v>
      </c>
    </row>
    <row r="45" spans="1:6">
      <c r="A45" s="1108"/>
      <c r="B45" s="1113" t="s">
        <v>402</v>
      </c>
      <c r="C45" s="1159"/>
      <c r="D45" s="1158"/>
      <c r="E45" s="1109"/>
    </row>
    <row r="46" spans="1:6">
      <c r="A46" s="1108"/>
      <c r="B46" s="1157" t="s">
        <v>539</v>
      </c>
      <c r="C46" s="1161"/>
      <c r="D46" s="1160" t="e">
        <f>ROUND(INDEX(Tabel4B[Afnameklanten op LS met klassieke meter],19),7)</f>
        <v>#DIV/0!</v>
      </c>
      <c r="E46" s="1137" t="s">
        <v>399</v>
      </c>
    </row>
    <row r="47" spans="1:6" ht="15" thickBot="1">
      <c r="A47" s="1119"/>
      <c r="B47" s="1174" t="s">
        <v>401</v>
      </c>
      <c r="C47" s="1164"/>
      <c r="D47" s="1140" t="e">
        <f>ROUND(INDEX(Tabel4B[Afnameklanten op LS met klassieke meter],20),7)</f>
        <v>#DIV/0!</v>
      </c>
      <c r="E47" s="1165" t="s">
        <v>399</v>
      </c>
    </row>
    <row r="48" spans="1:6" ht="15" thickBot="1">
      <c r="B48" s="590"/>
    </row>
    <row r="49" spans="1:6" ht="15" thickBot="1">
      <c r="A49" s="1142" t="s">
        <v>476</v>
      </c>
      <c r="B49" s="1175"/>
      <c r="C49" s="1126"/>
      <c r="D49" s="1170" t="s">
        <v>423</v>
      </c>
      <c r="E49" s="1171" t="s">
        <v>422</v>
      </c>
    </row>
    <row r="50" spans="1:6">
      <c r="A50" s="1103">
        <v>1</v>
      </c>
      <c r="B50" s="1176" t="s">
        <v>434</v>
      </c>
      <c r="C50" s="275"/>
      <c r="D50" s="1144"/>
      <c r="E50" s="1145"/>
      <c r="F50" s="1112"/>
    </row>
    <row r="51" spans="1:6" ht="27" customHeight="1">
      <c r="A51" s="1108" t="s">
        <v>419</v>
      </c>
      <c r="B51" s="1113" t="s">
        <v>576</v>
      </c>
      <c r="C51" s="161"/>
      <c r="D51" s="1163" t="e">
        <f>ROUND(INDEX(Tabel4B[Afnameklanten op LS met klassieke meter],5),2)</f>
        <v>#DIV/0!</v>
      </c>
      <c r="E51" s="1109" t="s">
        <v>447</v>
      </c>
      <c r="F51" s="1112"/>
    </row>
    <row r="52" spans="1:6" ht="16.5">
      <c r="A52" s="1108" t="s">
        <v>416</v>
      </c>
      <c r="B52" s="1113" t="s">
        <v>577</v>
      </c>
      <c r="C52" s="161"/>
      <c r="D52" s="1160" t="e">
        <f>ROUND(INDEX(Tabel4B[Afnameklanten op LS met klassieke meter],6),7)</f>
        <v>#DIV/0!</v>
      </c>
      <c r="E52" s="1109" t="s">
        <v>438</v>
      </c>
      <c r="F52" s="1112"/>
    </row>
    <row r="53" spans="1:6">
      <c r="A53" s="1108"/>
      <c r="B53" s="1177"/>
      <c r="C53" s="1114"/>
      <c r="D53" s="1102"/>
      <c r="E53" s="1109"/>
      <c r="F53" s="1112"/>
    </row>
    <row r="54" spans="1:6">
      <c r="A54" s="1108">
        <v>2</v>
      </c>
      <c r="B54" s="1178" t="s">
        <v>407</v>
      </c>
      <c r="C54" s="1034"/>
      <c r="D54" s="1102"/>
      <c r="E54" s="1109"/>
    </row>
    <row r="55" spans="1:6">
      <c r="A55" s="1108"/>
      <c r="B55" s="1111" t="s">
        <v>567</v>
      </c>
      <c r="D55" s="1163" t="e">
        <f>ROUND(INDEX(Tabel4B[Afnameklanten op LS (∑)],11),2)</f>
        <v>#DIV/0!</v>
      </c>
      <c r="E55" s="1109" t="s">
        <v>406</v>
      </c>
    </row>
    <row r="56" spans="1:6">
      <c r="A56" s="1108"/>
      <c r="B56" s="1113"/>
      <c r="D56" s="1102"/>
      <c r="E56" s="1109"/>
    </row>
    <row r="57" spans="1:6">
      <c r="A57" s="1108">
        <v>3</v>
      </c>
      <c r="B57" s="1178" t="s">
        <v>441</v>
      </c>
      <c r="C57" s="1034"/>
      <c r="D57" s="1102"/>
      <c r="E57" s="1109"/>
    </row>
    <row r="58" spans="1:6" ht="16.5">
      <c r="A58" s="1108"/>
      <c r="B58" s="1113" t="s">
        <v>433</v>
      </c>
      <c r="C58" s="1034"/>
      <c r="D58" s="1132" t="e">
        <f>ROUND(INDEX(Tabel4B[Afnameklanten op LS met klassieke meter],15),7)</f>
        <v>#VALUE!</v>
      </c>
      <c r="E58" s="1109" t="s">
        <v>438</v>
      </c>
    </row>
    <row r="59" spans="1:6">
      <c r="A59" s="1108"/>
      <c r="B59" s="1113" t="s">
        <v>432</v>
      </c>
      <c r="C59" s="1034"/>
      <c r="D59" s="1132" t="e">
        <f>ROUND(INDEX(Tabel4B[Afnameklanten op LS met klassieke meter],16),7)</f>
        <v>#VALUE!</v>
      </c>
      <c r="E59" s="1109" t="s">
        <v>399</v>
      </c>
    </row>
    <row r="60" spans="1:6">
      <c r="A60" s="1108"/>
      <c r="B60" s="1113"/>
      <c r="C60" s="1034"/>
      <c r="D60" s="1102"/>
      <c r="E60" s="1109"/>
    </row>
    <row r="61" spans="1:6" ht="16.5">
      <c r="A61" s="1108">
        <v>4</v>
      </c>
      <c r="B61" s="1178" t="s">
        <v>440</v>
      </c>
      <c r="C61" s="1034"/>
      <c r="D61" s="1132" t="e">
        <f>ROUND(INDEX(Tabel4B[Afnameklanten op LS met klassieke meter],17),7)</f>
        <v>#VALUE!</v>
      </c>
      <c r="E61" s="1109" t="s">
        <v>438</v>
      </c>
      <c r="F61" s="1112"/>
    </row>
    <row r="62" spans="1:6">
      <c r="A62" s="1108"/>
      <c r="B62" s="1178"/>
      <c r="C62" s="1034"/>
      <c r="D62" s="1102"/>
      <c r="E62" s="1109"/>
      <c r="F62" s="1112"/>
    </row>
    <row r="63" spans="1:6" ht="16.5">
      <c r="A63" s="1108">
        <v>5</v>
      </c>
      <c r="B63" s="1178" t="s">
        <v>439</v>
      </c>
      <c r="C63" s="1034"/>
      <c r="D63" s="1132" t="e">
        <f>ROUND(SUM(D$65:D$66),7)</f>
        <v>#DIV/0!</v>
      </c>
      <c r="E63" s="1109" t="s">
        <v>438</v>
      </c>
    </row>
    <row r="64" spans="1:6">
      <c r="A64" s="1108"/>
      <c r="B64" s="1113" t="s">
        <v>402</v>
      </c>
      <c r="C64" s="1034"/>
      <c r="D64" s="1102"/>
      <c r="E64" s="1109"/>
    </row>
    <row r="65" spans="1:5">
      <c r="A65" s="1108"/>
      <c r="B65" s="1157" t="s">
        <v>540</v>
      </c>
      <c r="C65" s="1101"/>
      <c r="D65" s="1132" t="e">
        <f>ROUND(INDEX(Tabel4B[Afnameklanten op LS met klassieke meter],19),7)</f>
        <v>#DIV/0!</v>
      </c>
      <c r="E65" s="1137" t="s">
        <v>437</v>
      </c>
    </row>
    <row r="66" spans="1:5">
      <c r="A66" s="1108"/>
      <c r="B66" s="1157" t="s">
        <v>401</v>
      </c>
      <c r="C66" s="1101"/>
      <c r="D66" s="1132" t="e">
        <f>ROUND(INDEX(Tabel4B[Afnameklanten op LS met klassieke meter],20),7)</f>
        <v>#DIV/0!</v>
      </c>
      <c r="E66" s="1137" t="s">
        <v>437</v>
      </c>
    </row>
    <row r="67" spans="1:5">
      <c r="A67" s="1108"/>
      <c r="B67" s="1178"/>
      <c r="C67" s="1034"/>
      <c r="D67" s="1102"/>
      <c r="E67" s="1109"/>
    </row>
    <row r="68" spans="1:5" ht="27" thickBot="1">
      <c r="A68" s="1119"/>
      <c r="B68" s="1179" t="s">
        <v>436</v>
      </c>
      <c r="C68" s="1121"/>
      <c r="D68" s="1140" t="e">
        <f>ROUND(INDEX(Tabel4B[Prosumenten met terugdraaiende teller op LS],21),2)</f>
        <v>#DIV/0!</v>
      </c>
      <c r="E68" s="1141" t="s">
        <v>435</v>
      </c>
    </row>
    <row r="70" spans="1:5">
      <c r="A70" s="1303"/>
      <c r="B70" s="1304"/>
      <c r="C70" s="1276"/>
      <c r="D70" s="1275"/>
      <c r="E70" s="1296"/>
    </row>
    <row r="71" spans="1:5">
      <c r="A71" s="1303"/>
      <c r="B71" s="1304"/>
      <c r="C71" s="1276"/>
      <c r="D71" s="1275"/>
      <c r="E71" s="1296"/>
    </row>
    <row r="72" spans="1:5">
      <c r="A72" s="1293"/>
      <c r="B72" s="1304"/>
      <c r="C72" s="1276"/>
      <c r="D72" s="1275"/>
      <c r="E72" s="1296"/>
    </row>
    <row r="73" spans="1:5">
      <c r="A73" s="1293"/>
      <c r="B73" s="1304"/>
      <c r="C73" s="1276"/>
      <c r="D73" s="1275"/>
      <c r="E73" s="1296"/>
    </row>
    <row r="74" spans="1:5">
      <c r="A74" s="1293"/>
      <c r="B74" s="1305"/>
      <c r="C74" s="1295"/>
      <c r="D74" s="1275"/>
      <c r="E74" s="1296"/>
    </row>
    <row r="75" spans="1:5">
      <c r="A75" s="1293"/>
      <c r="B75" s="1304"/>
      <c r="C75" s="1276"/>
      <c r="D75" s="1275"/>
      <c r="E75" s="1296"/>
    </row>
    <row r="76" spans="1:5">
      <c r="A76" s="1293"/>
      <c r="B76" s="1305"/>
      <c r="C76" s="1295"/>
      <c r="D76" s="1275"/>
      <c r="E76" s="1296"/>
    </row>
    <row r="77" spans="1:5">
      <c r="A77" s="1293"/>
      <c r="B77" s="1304"/>
      <c r="C77" s="1276"/>
      <c r="D77" s="1275"/>
      <c r="E77" s="1296"/>
    </row>
    <row r="78" spans="1:5">
      <c r="A78" s="1293"/>
      <c r="B78" s="1304"/>
      <c r="C78" s="1276"/>
      <c r="D78" s="1275"/>
      <c r="E78" s="1296"/>
    </row>
    <row r="79" spans="1:5">
      <c r="A79" s="1293"/>
      <c r="B79" s="1305"/>
      <c r="C79" s="1295"/>
      <c r="D79" s="1275"/>
      <c r="E79" s="1296"/>
    </row>
    <row r="80" spans="1:5">
      <c r="A80" s="1293"/>
      <c r="B80" s="1304"/>
      <c r="C80" s="1276"/>
      <c r="D80" s="1275"/>
      <c r="E80" s="1296"/>
    </row>
    <row r="81" spans="1:5">
      <c r="A81" s="1293"/>
      <c r="B81" s="1304"/>
      <c r="C81" s="1276"/>
      <c r="D81" s="1275"/>
      <c r="E81" s="1296"/>
    </row>
    <row r="82" spans="1:5">
      <c r="A82" s="1293"/>
      <c r="B82" s="1305"/>
      <c r="C82" s="1295"/>
      <c r="D82" s="1275"/>
      <c r="E82" s="1296"/>
    </row>
    <row r="83" spans="1:5">
      <c r="A83" s="1293"/>
      <c r="B83" s="1304"/>
      <c r="C83" s="1276"/>
      <c r="D83" s="1275"/>
      <c r="E83" s="1296"/>
    </row>
    <row r="84" spans="1:5">
      <c r="A84" s="1293"/>
      <c r="B84" s="1304"/>
      <c r="C84" s="1276"/>
      <c r="D84" s="1275"/>
      <c r="E84" s="1296"/>
    </row>
    <row r="85" spans="1:5">
      <c r="A85" s="1293"/>
      <c r="B85" s="1305"/>
      <c r="C85" s="1295"/>
      <c r="D85" s="1275"/>
      <c r="E85" s="1296"/>
    </row>
    <row r="86" spans="1:5">
      <c r="A86" s="1293"/>
      <c r="B86" s="1304"/>
      <c r="C86" s="1276"/>
      <c r="D86" s="1275"/>
      <c r="E86" s="1296"/>
    </row>
    <row r="87" spans="1:5">
      <c r="A87" s="1293"/>
      <c r="B87" s="1305"/>
      <c r="C87" s="1295"/>
      <c r="D87" s="1275"/>
      <c r="E87" s="1296"/>
    </row>
    <row r="88" spans="1:5">
      <c r="A88" s="1293"/>
      <c r="B88" s="1304"/>
      <c r="C88" s="1276"/>
      <c r="D88" s="1275"/>
      <c r="E88" s="1296"/>
    </row>
    <row r="89" spans="1:5">
      <c r="A89" s="1293"/>
      <c r="B89" s="1304"/>
      <c r="C89" s="1276"/>
      <c r="D89" s="1275"/>
      <c r="E89" s="1296"/>
    </row>
    <row r="90" spans="1:5">
      <c r="B90" s="1167"/>
      <c r="C90" s="1034"/>
    </row>
  </sheetData>
  <sheetProtection algorithmName="SHA-512" hashValue="e4g4XYPaXfoNp0R3sh+RKk/JWmwVFonzb1Qw1yi8iK3Sk1kjFPND3isWbA73Mm667cDFHpbWYZTq7LtO/ZxALg==" saltValue="qcXxQQHT43lwKtQlsGqzdA==" spinCount="100000" sheet="1" objects="1" scenarios="1"/>
  <mergeCells count="2">
    <mergeCell ref="A3:B3"/>
    <mergeCell ref="A1:E1"/>
  </mergeCells>
  <pageMargins left="0.70866141732283472" right="0.70866141732283472" top="0.74803149606299213" bottom="0.74803149606299213" header="0.31496062992125984" footer="0.31496062992125984"/>
  <pageSetup paperSize="9" scale="50" fitToWidth="2" orientation="portrait" r:id="rId1"/>
  <rowBreaks count="1" manualBreakCount="1">
    <brk id="48"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5334-11A2-4755-8256-FB94368758B7}">
  <sheetPr published="0">
    <pageSetUpPr fitToPage="1"/>
  </sheetPr>
  <dimension ref="A1:Q79"/>
  <sheetViews>
    <sheetView showGridLines="0" zoomScaleNormal="100" workbookViewId="0">
      <selection activeCell="A2" sqref="A2"/>
    </sheetView>
  </sheetViews>
  <sheetFormatPr defaultColWidth="9.1796875" defaultRowHeight="14.5"/>
  <cols>
    <col min="1" max="1" width="3.54296875" style="1031" bestFit="1" customWidth="1"/>
    <col min="2" max="2" width="96.453125" style="1035" customWidth="1"/>
    <col min="3" max="3" width="2.54296875" style="1" customWidth="1"/>
    <col min="4" max="4" width="15.54296875" style="1035" customWidth="1"/>
    <col min="5" max="5" width="15.54296875" style="1071" customWidth="1"/>
    <col min="6" max="16384" width="9.1796875" style="1"/>
  </cols>
  <sheetData>
    <row r="1" spans="1:17" ht="16"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 thickBot="1"/>
    <row r="3" spans="1:17" ht="15" thickBot="1">
      <c r="A3" s="1142" t="s">
        <v>457</v>
      </c>
      <c r="B3" s="1147"/>
      <c r="C3" s="1098"/>
      <c r="D3" s="1099" t="s">
        <v>423</v>
      </c>
      <c r="E3" s="1128" t="s">
        <v>422</v>
      </c>
    </row>
    <row r="4" spans="1:17">
      <c r="A4" s="1074" t="s">
        <v>456</v>
      </c>
      <c r="C4" s="1101"/>
      <c r="D4" s="1102"/>
    </row>
    <row r="5" spans="1:17" ht="15" thickBot="1">
      <c r="C5" s="1034"/>
      <c r="D5" s="1102"/>
    </row>
    <row r="6" spans="1:17" ht="15" thickBot="1">
      <c r="A6" s="1180" t="s">
        <v>455</v>
      </c>
      <c r="B6" s="1180"/>
      <c r="C6" s="1126"/>
      <c r="D6" s="1170" t="s">
        <v>423</v>
      </c>
      <c r="E6" s="1171" t="s">
        <v>422</v>
      </c>
    </row>
    <row r="7" spans="1:17">
      <c r="A7" s="1103">
        <v>1</v>
      </c>
      <c r="B7" s="1104" t="s">
        <v>420</v>
      </c>
      <c r="C7" s="1105"/>
      <c r="D7" s="1144"/>
      <c r="E7" s="1145"/>
    </row>
    <row r="8" spans="1:17">
      <c r="A8" s="1108" t="s">
        <v>419</v>
      </c>
      <c r="B8" s="1109" t="s">
        <v>454</v>
      </c>
      <c r="D8" s="1132" t="e">
        <f>ROUND($D$9/12,7)</f>
        <v>#VALUE!</v>
      </c>
      <c r="E8" s="1109" t="s">
        <v>582</v>
      </c>
      <c r="F8" s="1112"/>
    </row>
    <row r="9" spans="1:17">
      <c r="A9" s="1108"/>
      <c r="B9" s="1284" t="s">
        <v>584</v>
      </c>
      <c r="D9" s="1289" t="e">
        <f>ROUND(INDEX(Tabel4B[Doorvoer op 26-1kV],1),7)</f>
        <v>#VALUE!</v>
      </c>
      <c r="E9" s="1290" t="s">
        <v>417</v>
      </c>
      <c r="F9" s="1112"/>
    </row>
    <row r="10" spans="1:17">
      <c r="A10" s="1108" t="s">
        <v>416</v>
      </c>
      <c r="B10" s="1109" t="s">
        <v>415</v>
      </c>
      <c r="D10" s="1132" t="e">
        <f>ROUND(INDEX(Tabel4B[Doorvoer op 26-1kV],2),7)</f>
        <v>#VALUE!</v>
      </c>
      <c r="E10" s="1109" t="s">
        <v>412</v>
      </c>
      <c r="F10" s="1112"/>
    </row>
    <row r="11" spans="1:17" ht="38.5">
      <c r="A11" s="1108" t="s">
        <v>414</v>
      </c>
      <c r="B11" s="1113" t="s">
        <v>413</v>
      </c>
      <c r="C11" s="1114"/>
      <c r="D11" s="1132" t="e">
        <f>ROUND(INDEX(Tabel4B[Doorvoer op 26-1kV],3),7)</f>
        <v>#VALUE!</v>
      </c>
      <c r="E11" s="1109" t="s">
        <v>412</v>
      </c>
    </row>
    <row r="12" spans="1:17">
      <c r="A12" s="1108"/>
      <c r="B12" s="1113"/>
      <c r="C12" s="1114"/>
      <c r="D12" s="1102"/>
      <c r="E12" s="1109"/>
    </row>
    <row r="13" spans="1:17">
      <c r="A13" s="1108">
        <v>2</v>
      </c>
      <c r="B13" s="1115" t="s">
        <v>411</v>
      </c>
      <c r="C13" s="1034"/>
      <c r="D13" s="1102"/>
      <c r="E13" s="1109"/>
    </row>
    <row r="14" spans="1:17">
      <c r="A14" s="1108"/>
      <c r="B14" s="1109" t="s">
        <v>453</v>
      </c>
      <c r="D14" s="1298"/>
      <c r="E14" s="1109"/>
    </row>
    <row r="15" spans="1:17" ht="38.5">
      <c r="A15" s="1108"/>
      <c r="B15" s="1113" t="s">
        <v>409</v>
      </c>
      <c r="C15" s="593"/>
      <c r="D15" s="1132" t="e">
        <f>ROUND(INDEX(Tabel4B[Doorvoer op 26-1kV],8),7)</f>
        <v>#VALUE!</v>
      </c>
      <c r="E15" s="1109" t="s">
        <v>408</v>
      </c>
    </row>
    <row r="16" spans="1:17">
      <c r="A16" s="1108"/>
      <c r="B16" s="1109"/>
      <c r="D16" s="1102"/>
      <c r="E16" s="1109"/>
    </row>
    <row r="17" spans="1:6">
      <c r="A17" s="1108">
        <v>3</v>
      </c>
      <c r="B17" s="1115" t="s">
        <v>407</v>
      </c>
      <c r="C17" s="1034"/>
      <c r="D17" s="1102"/>
      <c r="E17" s="1109"/>
    </row>
    <row r="18" spans="1:6">
      <c r="A18" s="1108"/>
      <c r="B18" s="1111" t="s">
        <v>565</v>
      </c>
      <c r="D18" s="1135" t="e">
        <f>ROUND(INDEX(Tabel4B[Doorvoer op 26-1kV],9),2)</f>
        <v>#DIV/0!</v>
      </c>
      <c r="E18" s="1109" t="s">
        <v>406</v>
      </c>
    </row>
    <row r="19" spans="1:6">
      <c r="A19" s="1108"/>
      <c r="B19" s="1109"/>
      <c r="D19" s="1102"/>
      <c r="E19" s="1109"/>
    </row>
    <row r="20" spans="1:6">
      <c r="A20" s="1108">
        <v>4</v>
      </c>
      <c r="B20" s="1115" t="s">
        <v>405</v>
      </c>
      <c r="C20" s="1034"/>
      <c r="D20" s="1132" t="e">
        <f>ROUND(INDEX(Tabel4B[Doorvoer op 26-1kV],15),7)</f>
        <v>#VALUE!</v>
      </c>
      <c r="E20" s="1109" t="s">
        <v>399</v>
      </c>
    </row>
    <row r="21" spans="1:6">
      <c r="A21" s="1108"/>
      <c r="B21" s="1115"/>
      <c r="C21" s="1034"/>
      <c r="D21" s="1102"/>
      <c r="E21" s="1109"/>
      <c r="F21" s="1112"/>
    </row>
    <row r="22" spans="1:6">
      <c r="A22" s="1108">
        <v>5</v>
      </c>
      <c r="B22" s="1115" t="s">
        <v>404</v>
      </c>
      <c r="C22" s="1034"/>
      <c r="D22" s="1132" t="e">
        <f>ROUND(INDEX(Tabel4B[Doorvoer op 26-1kV],17),7)</f>
        <v>#VALUE!</v>
      </c>
      <c r="E22" s="1109" t="s">
        <v>399</v>
      </c>
      <c r="F22" s="1112"/>
    </row>
    <row r="23" spans="1:6">
      <c r="A23" s="1108"/>
      <c r="B23" s="1115"/>
      <c r="C23" s="1034"/>
      <c r="D23" s="1102"/>
      <c r="E23" s="1109"/>
    </row>
    <row r="24" spans="1:6" ht="15" thickBot="1">
      <c r="A24" s="1119">
        <v>6</v>
      </c>
      <c r="B24" s="1181" t="s">
        <v>442</v>
      </c>
      <c r="C24" s="1121"/>
      <c r="D24" s="1140" t="e">
        <f>ROUND(INDEX(Tabel4B[Doorvoer op 26-1kV],19),7)+ROUND(INDEX(Tabel4B[Doorvoer op 26-1kV],20),7)</f>
        <v>#DIV/0!</v>
      </c>
      <c r="E24" s="1141" t="s">
        <v>399</v>
      </c>
    </row>
    <row r="25" spans="1:6" ht="15" thickBot="1">
      <c r="B25" s="1031"/>
      <c r="C25" s="1034"/>
    </row>
    <row r="26" spans="1:6" ht="15" thickBot="1">
      <c r="A26" s="1180" t="s">
        <v>573</v>
      </c>
      <c r="B26" s="1180"/>
      <c r="C26" s="1126"/>
      <c r="D26" s="1170" t="s">
        <v>423</v>
      </c>
      <c r="E26" s="1171" t="s">
        <v>422</v>
      </c>
    </row>
    <row r="27" spans="1:6">
      <c r="A27" s="1180">
        <v>1</v>
      </c>
      <c r="B27" s="1104" t="s">
        <v>420</v>
      </c>
      <c r="C27" s="1105"/>
      <c r="D27" s="1144"/>
      <c r="E27" s="1145"/>
    </row>
    <row r="28" spans="1:6" ht="39" customHeight="1">
      <c r="A28" s="1182" t="s">
        <v>419</v>
      </c>
      <c r="B28" s="1113" t="s">
        <v>450</v>
      </c>
      <c r="D28" s="1132" t="e">
        <f>ROUND(INDEX(Tabel4B[Doorvoer op LS met piekmeting],4),7)</f>
        <v>#DIV/0!</v>
      </c>
      <c r="E28" s="1109" t="s">
        <v>435</v>
      </c>
      <c r="F28" s="1112"/>
    </row>
    <row r="29" spans="1:6" ht="39" customHeight="1">
      <c r="A29" s="1182"/>
      <c r="B29" s="1284" t="s">
        <v>584</v>
      </c>
      <c r="D29" s="1289" t="e">
        <f>ROUND($D$28/12,7)</f>
        <v>#DIV/0!</v>
      </c>
      <c r="E29" s="1290" t="s">
        <v>412</v>
      </c>
      <c r="F29" s="1112"/>
    </row>
    <row r="30" spans="1:6">
      <c r="A30" s="1182" t="s">
        <v>416</v>
      </c>
      <c r="B30" s="1109" t="s">
        <v>433</v>
      </c>
      <c r="D30" s="1132" t="e">
        <f>ROUND(INDEX(Tabel4B[Doorvoer op LS met piekmeting],6),7)</f>
        <v>#DIV/0!</v>
      </c>
      <c r="E30" s="1109" t="s">
        <v>399</v>
      </c>
      <c r="F30" s="1112"/>
    </row>
    <row r="31" spans="1:6">
      <c r="A31" s="1182"/>
      <c r="B31" s="1109"/>
      <c r="D31" s="1102"/>
      <c r="E31" s="1109"/>
    </row>
    <row r="32" spans="1:6">
      <c r="A32" s="1182">
        <v>3</v>
      </c>
      <c r="B32" s="1115" t="s">
        <v>407</v>
      </c>
      <c r="C32" s="1034"/>
      <c r="D32" s="1102"/>
      <c r="E32" s="1109"/>
    </row>
    <row r="33" spans="1:6">
      <c r="A33" s="1182"/>
      <c r="B33" s="1111" t="s">
        <v>565</v>
      </c>
      <c r="D33" s="1135" t="e">
        <f>ROUND(INDEX(Tabel4B[Doorvoer op LS met piekmeting],9),2)</f>
        <v>#DIV/0!</v>
      </c>
      <c r="E33" s="1109" t="s">
        <v>406</v>
      </c>
    </row>
    <row r="34" spans="1:6">
      <c r="A34" s="1182"/>
      <c r="B34" s="1109"/>
      <c r="D34" s="1102"/>
      <c r="E34" s="1109"/>
    </row>
    <row r="35" spans="1:6">
      <c r="A35" s="1182">
        <v>4</v>
      </c>
      <c r="B35" s="1115" t="s">
        <v>405</v>
      </c>
      <c r="C35" s="1034"/>
      <c r="D35" s="1102"/>
      <c r="E35" s="1109"/>
    </row>
    <row r="36" spans="1:6">
      <c r="A36" s="1182"/>
      <c r="B36" s="1109" t="s">
        <v>433</v>
      </c>
      <c r="C36" s="1034"/>
      <c r="D36" s="1132" t="e">
        <f>ROUND(INDEX(Tabel4B[Doorvoer op LS met piekmeting],15),7)</f>
        <v>#VALUE!</v>
      </c>
      <c r="E36" s="1109" t="s">
        <v>399</v>
      </c>
    </row>
    <row r="37" spans="1:6">
      <c r="A37" s="1182"/>
      <c r="B37" s="1115"/>
      <c r="C37" s="1034"/>
      <c r="D37" s="1102"/>
      <c r="E37" s="1109"/>
    </row>
    <row r="38" spans="1:6">
      <c r="A38" s="1182">
        <v>5</v>
      </c>
      <c r="B38" s="1115" t="s">
        <v>404</v>
      </c>
      <c r="C38" s="1034"/>
      <c r="D38" s="1132" t="e">
        <f>ROUND(INDEX(Tabel4B[Doorvoer op LS met piekmeting],17),7)</f>
        <v>#VALUE!</v>
      </c>
      <c r="E38" s="1109" t="s">
        <v>399</v>
      </c>
      <c r="F38" s="1112"/>
    </row>
    <row r="39" spans="1:6">
      <c r="A39" s="1182"/>
      <c r="B39" s="1115"/>
      <c r="C39" s="1034"/>
      <c r="D39" s="1102"/>
      <c r="E39" s="1109"/>
      <c r="F39" s="1112"/>
    </row>
    <row r="40" spans="1:6" ht="15" thickBot="1">
      <c r="A40" s="1183">
        <v>6</v>
      </c>
      <c r="B40" s="1181" t="s">
        <v>442</v>
      </c>
      <c r="C40" s="1121"/>
      <c r="D40" s="1140" t="e">
        <f>ROUND(INDEX(Tabel4B[Doorvoer op LS met piekmeting],19),7)+ROUND(INDEX(Tabel4B[Doorvoer op LS met piekmeting],20),7)</f>
        <v>#DIV/0!</v>
      </c>
      <c r="E40" s="1141" t="s">
        <v>399</v>
      </c>
    </row>
    <row r="41" spans="1:6" ht="15" thickBot="1"/>
    <row r="42" spans="1:6" ht="15" thickBot="1">
      <c r="A42" s="1142" t="s">
        <v>574</v>
      </c>
      <c r="B42" s="1169"/>
      <c r="C42" s="584"/>
      <c r="D42" s="1170" t="s">
        <v>423</v>
      </c>
      <c r="E42" s="1171" t="s">
        <v>422</v>
      </c>
    </row>
    <row r="43" spans="1:6">
      <c r="A43" s="1103">
        <v>1</v>
      </c>
      <c r="B43" s="1172" t="s">
        <v>420</v>
      </c>
      <c r="C43" s="1105"/>
      <c r="D43" s="1144"/>
      <c r="E43" s="1145"/>
    </row>
    <row r="44" spans="1:6" ht="27" customHeight="1">
      <c r="A44" s="1108" t="s">
        <v>419</v>
      </c>
      <c r="B44" s="1113" t="s">
        <v>448</v>
      </c>
      <c r="C44" s="161"/>
      <c r="D44" s="1163" t="e">
        <f>ROUND(INDEX(Tabel4B[Doorvoer op LS zonder piekmeting],5),7)</f>
        <v>#DIV/0!</v>
      </c>
      <c r="E44" s="1109" t="s">
        <v>447</v>
      </c>
    </row>
    <row r="45" spans="1:6">
      <c r="A45" s="1108" t="s">
        <v>416</v>
      </c>
      <c r="B45" s="1113" t="s">
        <v>433</v>
      </c>
      <c r="C45" s="161"/>
      <c r="D45" s="1160" t="e">
        <f>ROUND(INDEX(Tabel4B[Doorvoer op LS zonder piekmeting],6),7)</f>
        <v>#DIV/0!</v>
      </c>
      <c r="E45" s="1109" t="s">
        <v>399</v>
      </c>
    </row>
    <row r="46" spans="1:6">
      <c r="A46" s="1108"/>
      <c r="B46" s="1113"/>
      <c r="C46" s="161"/>
      <c r="D46" s="1158"/>
      <c r="E46" s="1109"/>
    </row>
    <row r="47" spans="1:6">
      <c r="A47" s="1108">
        <v>2</v>
      </c>
      <c r="B47" s="1173" t="s">
        <v>407</v>
      </c>
      <c r="C47" s="1159"/>
      <c r="D47" s="1158"/>
      <c r="E47" s="1109"/>
    </row>
    <row r="48" spans="1:6">
      <c r="A48" s="1108"/>
      <c r="B48" s="1113" t="s">
        <v>567</v>
      </c>
      <c r="C48" s="161"/>
      <c r="D48" s="1163" t="e">
        <f>ROUND(INDEX(Tabel4B[Doorvoer op LS zonder piekmeting],13),2)</f>
        <v>#DIV/0!</v>
      </c>
      <c r="E48" s="1109" t="s">
        <v>406</v>
      </c>
    </row>
    <row r="49" spans="1:5">
      <c r="A49" s="1108"/>
      <c r="B49" s="1113"/>
      <c r="C49" s="161"/>
      <c r="D49" s="1158"/>
      <c r="E49" s="1109"/>
    </row>
    <row r="50" spans="1:5">
      <c r="A50" s="1108">
        <v>3</v>
      </c>
      <c r="B50" s="1173" t="s">
        <v>405</v>
      </c>
      <c r="C50" s="1159"/>
      <c r="D50" s="1158"/>
      <c r="E50" s="1109"/>
    </row>
    <row r="51" spans="1:5">
      <c r="A51" s="1108"/>
      <c r="B51" s="1113" t="s">
        <v>433</v>
      </c>
      <c r="C51" s="1159"/>
      <c r="D51" s="1160" t="e">
        <f>ROUND(INDEX(Tabel4B[Doorvoer op LS zonder piekmeting],15),7)</f>
        <v>#VALUE!</v>
      </c>
      <c r="E51" s="1109" t="s">
        <v>399</v>
      </c>
    </row>
    <row r="52" spans="1:5">
      <c r="A52" s="1108"/>
      <c r="B52" s="1173"/>
      <c r="C52" s="1159"/>
      <c r="D52" s="1158"/>
      <c r="E52" s="1109"/>
    </row>
    <row r="53" spans="1:5">
      <c r="A53" s="1108">
        <v>4</v>
      </c>
      <c r="B53" s="1173" t="s">
        <v>404</v>
      </c>
      <c r="C53" s="1159"/>
      <c r="D53" s="1160" t="e">
        <f>ROUND(INDEX(Tabel4B[Doorvoer op LS zonder piekmeting],17),7)</f>
        <v>#VALUE!</v>
      </c>
      <c r="E53" s="1109" t="s">
        <v>399</v>
      </c>
    </row>
    <row r="54" spans="1:5">
      <c r="A54" s="1108"/>
      <c r="B54" s="1173"/>
      <c r="C54" s="1159"/>
      <c r="D54" s="1158"/>
      <c r="E54" s="1109"/>
    </row>
    <row r="55" spans="1:5">
      <c r="A55" s="1108">
        <v>5</v>
      </c>
      <c r="B55" s="1173" t="s">
        <v>442</v>
      </c>
      <c r="C55" s="1159"/>
      <c r="D55" s="1160" t="e">
        <f>ROUND(SUM(D$45:D$46),7)</f>
        <v>#DIV/0!</v>
      </c>
      <c r="E55" s="1109" t="s">
        <v>399</v>
      </c>
    </row>
    <row r="56" spans="1:5">
      <c r="A56" s="1108"/>
      <c r="B56" s="1113" t="s">
        <v>402</v>
      </c>
      <c r="C56" s="1159"/>
      <c r="D56" s="1158"/>
      <c r="E56" s="1109"/>
    </row>
    <row r="57" spans="1:5">
      <c r="A57" s="1108"/>
      <c r="B57" s="1157" t="s">
        <v>539</v>
      </c>
      <c r="C57" s="1161"/>
      <c r="D57" s="1160" t="e">
        <f>ROUND(INDEX(Tabel4B[Doorvoer op LS zonder piekmeting],19),7)</f>
        <v>#DIV/0!</v>
      </c>
      <c r="E57" s="1137" t="s">
        <v>399</v>
      </c>
    </row>
    <row r="58" spans="1:5" ht="15" thickBot="1">
      <c r="A58" s="1119"/>
      <c r="B58" s="1174" t="s">
        <v>401</v>
      </c>
      <c r="C58" s="1164"/>
      <c r="D58" s="1140" t="e">
        <f>ROUND(INDEX(Tabel4B[Doorvoer op LS zonder piekmeting],20),7)</f>
        <v>#DIV/0!</v>
      </c>
      <c r="E58" s="1165" t="s">
        <v>399</v>
      </c>
    </row>
    <row r="60" spans="1:5">
      <c r="A60" s="1306"/>
      <c r="B60" s="1275"/>
      <c r="C60" s="1276"/>
      <c r="D60" s="1275"/>
      <c r="E60" s="1296"/>
    </row>
    <row r="61" spans="1:5">
      <c r="A61" s="1306"/>
      <c r="B61" s="1275"/>
      <c r="C61" s="1276"/>
      <c r="D61" s="1275"/>
      <c r="E61" s="1296"/>
    </row>
    <row r="62" spans="1:5">
      <c r="A62" s="1306"/>
      <c r="B62" s="1275"/>
      <c r="C62" s="1276"/>
      <c r="D62" s="1275"/>
      <c r="E62" s="1296"/>
    </row>
    <row r="63" spans="1:5">
      <c r="A63" s="1306"/>
      <c r="B63" s="1275"/>
      <c r="C63" s="1276"/>
      <c r="D63" s="1275"/>
      <c r="E63" s="1296"/>
    </row>
    <row r="64" spans="1:5">
      <c r="A64" s="1306"/>
      <c r="B64" s="1275"/>
      <c r="C64" s="1276"/>
      <c r="D64" s="1275"/>
      <c r="E64" s="1296"/>
    </row>
    <row r="65" spans="1:5">
      <c r="A65" s="1306"/>
      <c r="B65" s="1275"/>
      <c r="C65" s="1276"/>
      <c r="D65" s="1275"/>
      <c r="E65" s="1296"/>
    </row>
    <row r="66" spans="1:5">
      <c r="A66" s="1306"/>
      <c r="B66" s="1275"/>
      <c r="C66" s="1276"/>
      <c r="D66" s="1275"/>
      <c r="E66" s="1296"/>
    </row>
    <row r="67" spans="1:5">
      <c r="A67" s="1306"/>
      <c r="B67" s="1275"/>
      <c r="C67" s="1276"/>
      <c r="D67" s="1275"/>
      <c r="E67" s="1296"/>
    </row>
    <row r="68" spans="1:5">
      <c r="A68" s="1306"/>
      <c r="B68" s="1275"/>
      <c r="C68" s="1276"/>
      <c r="D68" s="1275"/>
      <c r="E68" s="1296"/>
    </row>
    <row r="69" spans="1:5">
      <c r="A69" s="1306"/>
      <c r="B69" s="1275"/>
      <c r="C69" s="1276"/>
      <c r="D69" s="1275"/>
      <c r="E69" s="1296"/>
    </row>
    <row r="70" spans="1:5">
      <c r="A70" s="1306"/>
      <c r="B70" s="1275"/>
      <c r="C70" s="1276"/>
      <c r="D70" s="1275"/>
      <c r="E70" s="1296"/>
    </row>
    <row r="71" spans="1:5">
      <c r="A71" s="1306"/>
      <c r="B71" s="1275"/>
      <c r="C71" s="1276"/>
      <c r="D71" s="1275"/>
      <c r="E71" s="1296"/>
    </row>
    <row r="72" spans="1:5">
      <c r="A72" s="1306"/>
      <c r="B72" s="1275"/>
      <c r="C72" s="1276"/>
      <c r="D72" s="1275"/>
      <c r="E72" s="1296"/>
    </row>
    <row r="73" spans="1:5">
      <c r="A73" s="1306"/>
      <c r="B73" s="1275"/>
      <c r="C73" s="1276"/>
      <c r="D73" s="1275"/>
      <c r="E73" s="1296"/>
    </row>
    <row r="74" spans="1:5">
      <c r="A74" s="1306"/>
      <c r="B74" s="1275"/>
      <c r="C74" s="1276"/>
      <c r="D74" s="1275"/>
      <c r="E74" s="1296"/>
    </row>
    <row r="75" spans="1:5">
      <c r="A75" s="1306"/>
      <c r="B75" s="1275"/>
      <c r="C75" s="1276"/>
      <c r="D75" s="1275"/>
      <c r="E75" s="1296"/>
    </row>
    <row r="76" spans="1:5">
      <c r="A76" s="1306"/>
      <c r="B76" s="1275"/>
      <c r="C76" s="1276"/>
      <c r="D76" s="1275"/>
      <c r="E76" s="1296"/>
    </row>
    <row r="77" spans="1:5">
      <c r="A77" s="1306"/>
      <c r="B77" s="1275"/>
      <c r="C77" s="1276"/>
      <c r="D77" s="1275"/>
      <c r="E77" s="1296"/>
    </row>
    <row r="78" spans="1:5">
      <c r="A78" s="1306"/>
      <c r="B78" s="1275"/>
      <c r="C78" s="1276"/>
      <c r="D78" s="1275"/>
      <c r="E78" s="1296"/>
    </row>
    <row r="79" spans="1:5">
      <c r="A79" s="1306"/>
      <c r="B79" s="1275"/>
      <c r="C79" s="1276"/>
      <c r="D79" s="1275"/>
      <c r="E79" s="1296"/>
    </row>
  </sheetData>
  <sheetProtection algorithmName="SHA-512" hashValue="V5rGzQHzeZmsdym1uDRKst1vnxKTmWkOzV2e4m9oy7cQlAnVJWINvQBM6cb8DFlS240VfEEjyRuMjiZc5zBk2Q==" saltValue="L+2O9rhLj9MuKKictbBnTw=="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DDB2-36C9-4D1E-8273-9440A13DC45C}">
  <sheetPr published="0">
    <pageSetUpPr fitToPage="1"/>
  </sheetPr>
  <dimension ref="A1:P78"/>
  <sheetViews>
    <sheetView showGridLines="0" zoomScaleNormal="100" workbookViewId="0">
      <selection activeCell="A2" sqref="A2"/>
    </sheetView>
  </sheetViews>
  <sheetFormatPr defaultColWidth="9.1796875" defaultRowHeight="14.5"/>
  <cols>
    <col min="1" max="1" width="96.453125" style="6" customWidth="1"/>
    <col min="2" max="2" width="2.54296875" style="1" customWidth="1"/>
    <col min="3" max="3" width="15.54296875" style="1035" customWidth="1"/>
    <col min="4" max="4" width="15.54296875" style="1071" customWidth="1"/>
    <col min="5" max="16384" width="9.1796875" style="1"/>
  </cols>
  <sheetData>
    <row r="1" spans="1:16" ht="15.4" customHeight="1" thickBot="1">
      <c r="A1" s="1648" t="str">
        <f>DNB&amp;" - ELEKTRICITEIT - Tarieflijst periodieke distributienettarieven "&amp;JAAR&amp;" - Injectie"</f>
        <v>Naam distributienetbeheerder - ELEKTRICITEIT - Tarieflijst periodieke distributienettarieven 2022 - Injectie</v>
      </c>
      <c r="B1" s="1644"/>
      <c r="C1" s="1644"/>
      <c r="D1" s="1645"/>
      <c r="E1" s="1096"/>
      <c r="F1" s="1096"/>
      <c r="G1" s="1096"/>
      <c r="H1" s="1096"/>
      <c r="I1" s="1096"/>
      <c r="J1" s="1096"/>
      <c r="K1" s="1096"/>
      <c r="L1" s="1096"/>
      <c r="M1" s="1096"/>
      <c r="N1" s="1096"/>
      <c r="O1" s="1096"/>
      <c r="P1" s="1096"/>
    </row>
    <row r="2" spans="1:16" ht="15" thickBot="1">
      <c r="C2" s="1184"/>
    </row>
    <row r="3" spans="1:16" ht="15" thickBot="1">
      <c r="A3" s="1185" t="s">
        <v>579</v>
      </c>
      <c r="B3" s="1186"/>
      <c r="C3" s="1099" t="s">
        <v>423</v>
      </c>
      <c r="D3" s="1128" t="s">
        <v>422</v>
      </c>
    </row>
    <row r="4" spans="1:16">
      <c r="A4" s="1187"/>
      <c r="B4" s="1101"/>
      <c r="C4" s="1102"/>
    </row>
    <row r="5" spans="1:16" ht="15" thickBot="1">
      <c r="A5" s="1143"/>
      <c r="B5" s="1034"/>
      <c r="C5" s="1102"/>
    </row>
    <row r="6" spans="1:16">
      <c r="A6" s="1188" t="s">
        <v>434</v>
      </c>
      <c r="B6" s="1105"/>
      <c r="C6" s="1162" t="e">
        <f>ROUND(INDEX(Tabel4B[Injectieklanten (∑)],7),7)</f>
        <v>#VALUE!</v>
      </c>
      <c r="D6" s="1189" t="s">
        <v>399</v>
      </c>
    </row>
    <row r="7" spans="1:16">
      <c r="A7" s="1190" t="s">
        <v>459</v>
      </c>
      <c r="B7" s="1101"/>
      <c r="C7" s="1191">
        <f>'Max Injectie'!$F$9</f>
        <v>0</v>
      </c>
      <c r="D7" s="1075" t="s">
        <v>399</v>
      </c>
    </row>
    <row r="8" spans="1:16">
      <c r="A8" s="1190"/>
      <c r="B8" s="1101"/>
      <c r="C8" s="1192"/>
      <c r="D8" s="1075"/>
    </row>
    <row r="9" spans="1:16">
      <c r="A9" s="1152" t="s">
        <v>365</v>
      </c>
      <c r="C9" s="1"/>
      <c r="D9" s="1117"/>
    </row>
    <row r="10" spans="1:16" ht="15" thickBot="1">
      <c r="A10" s="1193" t="s">
        <v>458</v>
      </c>
      <c r="B10" s="1121"/>
      <c r="C10" s="1194" t="e">
        <f>ROUND(INDEX(Tabel4B[Injectieklanten (∑)],14),2)</f>
        <v>#DIV/0!</v>
      </c>
      <c r="D10" s="1195" t="s">
        <v>447</v>
      </c>
    </row>
    <row r="12" spans="1:16">
      <c r="A12" s="1297"/>
      <c r="B12" s="1276"/>
      <c r="C12" s="1275"/>
      <c r="D12" s="1296"/>
    </row>
    <row r="13" spans="1:16">
      <c r="A13" s="1294"/>
      <c r="B13" s="1295"/>
      <c r="C13" s="1275"/>
      <c r="D13" s="1296"/>
    </row>
    <row r="14" spans="1:16">
      <c r="A14" s="1307"/>
      <c r="B14" s="1308"/>
      <c r="C14" s="1275"/>
      <c r="D14" s="1296"/>
    </row>
    <row r="15" spans="1:16">
      <c r="A15" s="1297"/>
      <c r="B15" s="1276"/>
      <c r="C15" s="1275"/>
      <c r="D15" s="1296"/>
    </row>
    <row r="16" spans="1:16">
      <c r="A16" s="1297"/>
      <c r="B16" s="1276"/>
      <c r="C16" s="1275"/>
      <c r="D16" s="1296"/>
    </row>
    <row r="17" spans="1:4">
      <c r="A17" s="1297"/>
      <c r="B17" s="1276"/>
      <c r="C17" s="1275"/>
      <c r="D17" s="1296"/>
    </row>
    <row r="18" spans="1:4">
      <c r="A18" s="1294"/>
      <c r="B18" s="1295"/>
      <c r="C18" s="1275"/>
      <c r="D18" s="1296"/>
    </row>
    <row r="19" spans="1:4">
      <c r="A19" s="1297"/>
      <c r="B19" s="1276"/>
      <c r="C19" s="1275"/>
      <c r="D19" s="1296"/>
    </row>
    <row r="20" spans="1:4">
      <c r="A20" s="1294"/>
      <c r="B20" s="1295"/>
      <c r="C20" s="1275"/>
      <c r="D20" s="1296"/>
    </row>
    <row r="21" spans="1:4">
      <c r="A21" s="1297"/>
      <c r="B21" s="1276"/>
      <c r="C21" s="1275"/>
      <c r="D21" s="1296"/>
    </row>
    <row r="22" spans="1:4">
      <c r="A22" s="1297"/>
      <c r="B22" s="1276"/>
      <c r="C22" s="1275"/>
      <c r="D22" s="1296"/>
    </row>
    <row r="23" spans="1:4">
      <c r="A23" s="1297"/>
      <c r="B23" s="1276"/>
      <c r="C23" s="1275"/>
      <c r="D23" s="1296"/>
    </row>
    <row r="24" spans="1:4">
      <c r="A24" s="1294"/>
      <c r="B24" s="1295"/>
      <c r="C24" s="1275"/>
      <c r="D24" s="1296"/>
    </row>
    <row r="25" spans="1:4">
      <c r="A25" s="1294"/>
      <c r="B25" s="1295"/>
      <c r="C25" s="1275"/>
      <c r="D25" s="1296"/>
    </row>
    <row r="26" spans="1:4">
      <c r="A26" s="1294"/>
      <c r="B26" s="1295"/>
      <c r="C26" s="1275"/>
      <c r="D26" s="1296"/>
    </row>
    <row r="27" spans="1:4">
      <c r="A27" s="1294"/>
      <c r="B27" s="1295"/>
      <c r="C27" s="1275"/>
      <c r="D27" s="1296"/>
    </row>
    <row r="28" spans="1:4">
      <c r="A28" s="1297"/>
      <c r="B28" s="1276"/>
      <c r="C28" s="1275"/>
      <c r="D28" s="1296"/>
    </row>
    <row r="29" spans="1:4">
      <c r="A29" s="1297"/>
      <c r="B29" s="1276"/>
      <c r="C29" s="1275"/>
      <c r="D29" s="1296"/>
    </row>
    <row r="30" spans="1:4">
      <c r="A30" s="1297"/>
      <c r="B30" s="1276"/>
      <c r="C30" s="1275"/>
      <c r="D30" s="1296"/>
    </row>
    <row r="31" spans="1:4">
      <c r="A31" s="1297"/>
      <c r="B31" s="1276"/>
      <c r="C31" s="1275"/>
      <c r="D31" s="1296"/>
    </row>
    <row r="38" spans="1:2">
      <c r="A38" s="1048"/>
      <c r="B38" s="1034"/>
    </row>
    <row r="41" spans="1:2">
      <c r="A41" s="1048"/>
      <c r="B41" s="1034"/>
    </row>
    <row r="45" spans="1:2">
      <c r="A45" s="1048"/>
      <c r="B45" s="1034"/>
    </row>
    <row r="49" spans="1:4" s="1034" customFormat="1">
      <c r="A49" s="1048"/>
      <c r="C49" s="1031"/>
      <c r="D49" s="1097"/>
    </row>
    <row r="52" spans="1:4">
      <c r="A52" s="1048"/>
      <c r="B52" s="1034"/>
    </row>
    <row r="55" spans="1:4">
      <c r="A55" s="1048"/>
      <c r="B55" s="1034"/>
    </row>
    <row r="57" spans="1:4">
      <c r="A57" s="1048"/>
      <c r="B57" s="1034"/>
    </row>
    <row r="62" spans="1:4">
      <c r="A62" s="1048"/>
      <c r="B62" s="1034"/>
    </row>
    <row r="64" spans="1:4">
      <c r="A64" s="1048"/>
      <c r="B64" s="1034"/>
    </row>
    <row r="67" spans="1:2">
      <c r="A67" s="1048"/>
      <c r="B67" s="1034"/>
    </row>
    <row r="70" spans="1:2">
      <c r="A70" s="1048"/>
      <c r="B70" s="1034"/>
    </row>
    <row r="73" spans="1:2">
      <c r="A73" s="1048"/>
      <c r="B73" s="1034"/>
    </row>
    <row r="75" spans="1:2">
      <c r="A75" s="1048"/>
      <c r="B75" s="1034"/>
    </row>
    <row r="78" spans="1:2">
      <c r="A78" s="1048"/>
      <c r="B78" s="1034"/>
    </row>
  </sheetData>
  <sheetProtection algorithmName="SHA-512" hashValue="pvBWQLROjJh92KyTXv+9JJ30L2fvOJZNGV/BsyqrBHj233aLLyIiTq1Z9yoj+oqduo5G5GfhldodNrFR0gyXFA==" saltValue="+oUuXdDgBas0pT0F8k22oA==" spinCount="100000" sheet="1" objects="1" scenarios="1"/>
  <mergeCells count="1">
    <mergeCell ref="A1:D1"/>
  </mergeCell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14"/>
  <dimension ref="A1:N132"/>
  <sheetViews>
    <sheetView zoomScale="80" zoomScaleNormal="80" workbookViewId="0">
      <selection activeCell="E4" sqref="E4:G4"/>
    </sheetView>
  </sheetViews>
  <sheetFormatPr defaultColWidth="10.7265625" defaultRowHeight="14.5"/>
  <cols>
    <col min="1" max="1" width="5.7265625" style="3" customWidth="1"/>
    <col min="2" max="2" width="30.7265625" style="3" customWidth="1"/>
    <col min="3" max="3" width="40.7265625" style="3" customWidth="1"/>
    <col min="4" max="4" width="10.7265625" style="3" customWidth="1"/>
    <col min="5" max="5" width="20.7265625" style="3" customWidth="1"/>
    <col min="6" max="6" width="5.7265625" style="3" customWidth="1"/>
    <col min="7" max="8" width="40.7265625" style="3" customWidth="1"/>
    <col min="9" max="10" width="5.7265625" style="3" customWidth="1"/>
    <col min="11" max="16384" width="10.7265625" style="3"/>
  </cols>
  <sheetData>
    <row r="1" spans="1:14" ht="30" customHeight="1" thickBot="1">
      <c r="A1" s="1416" t="s">
        <v>185</v>
      </c>
      <c r="B1" s="1417"/>
      <c r="C1" s="1418"/>
      <c r="D1" s="1418"/>
      <c r="E1" s="1417"/>
      <c r="F1" s="1417"/>
      <c r="G1" s="1417"/>
      <c r="H1" s="1417"/>
      <c r="I1" s="1419"/>
    </row>
    <row r="3" spans="1:14" ht="15" thickBot="1"/>
    <row r="4" spans="1:14" ht="15" thickBot="1">
      <c r="C4" s="129" t="s">
        <v>6</v>
      </c>
      <c r="D4" s="129"/>
      <c r="E4" s="1420" t="str">
        <f>DNB</f>
        <v>Naam distributienetbeheerder</v>
      </c>
      <c r="F4" s="1421"/>
      <c r="G4" s="1422"/>
      <c r="H4" s="134"/>
    </row>
    <row r="7" spans="1:14">
      <c r="A7" s="616"/>
      <c r="B7" s="1414" t="s">
        <v>175</v>
      </c>
      <c r="C7" s="1414"/>
      <c r="D7" s="1414"/>
      <c r="E7" s="1414"/>
      <c r="F7" s="1414"/>
      <c r="G7" s="1414"/>
      <c r="H7" s="617"/>
      <c r="I7" s="618"/>
    </row>
    <row r="9" spans="1:14">
      <c r="B9" s="619" t="s">
        <v>303</v>
      </c>
    </row>
    <row r="10" spans="1:14" ht="15" thickBot="1"/>
    <row r="11" spans="1:14" ht="17" thickBot="1">
      <c r="B11" s="620" t="s">
        <v>282</v>
      </c>
      <c r="C11" s="620"/>
      <c r="D11" s="620"/>
      <c r="E11" s="621">
        <v>0.5</v>
      </c>
      <c r="G11" s="3" t="s">
        <v>268</v>
      </c>
    </row>
    <row r="12" spans="1:14" ht="17" thickBot="1">
      <c r="B12" s="620" t="s">
        <v>283</v>
      </c>
      <c r="C12" s="620"/>
      <c r="D12" s="620"/>
      <c r="E12" s="621">
        <f>1-$E$11</f>
        <v>0.5</v>
      </c>
      <c r="G12" s="3" t="s">
        <v>178</v>
      </c>
    </row>
    <row r="13" spans="1:14" ht="17" thickBot="1">
      <c r="B13" s="620" t="s">
        <v>284</v>
      </c>
      <c r="C13" s="620"/>
      <c r="D13" s="620"/>
      <c r="E13" s="622">
        <f>PROCENT_MP/PROCENT_TV</f>
        <v>1</v>
      </c>
      <c r="K13" s="1413" t="s">
        <v>306</v>
      </c>
      <c r="L13" s="1413"/>
      <c r="M13" s="1413"/>
      <c r="N13" s="1413"/>
    </row>
    <row r="14" spans="1:14" ht="15" thickBot="1">
      <c r="B14" s="620"/>
      <c r="C14" s="620"/>
      <c r="D14" s="620"/>
      <c r="E14" s="56"/>
      <c r="K14" s="1413"/>
      <c r="L14" s="1413"/>
      <c r="M14" s="1413"/>
      <c r="N14" s="1413"/>
    </row>
    <row r="15" spans="1:14" ht="17" thickBot="1">
      <c r="B15" s="620" t="s">
        <v>285</v>
      </c>
      <c r="C15" s="620"/>
      <c r="D15" s="620"/>
      <c r="E15" s="623">
        <v>1.5</v>
      </c>
      <c r="G15" s="3" t="s">
        <v>268</v>
      </c>
    </row>
    <row r="16" spans="1:14">
      <c r="B16" s="620"/>
      <c r="C16" s="620"/>
      <c r="D16" s="620"/>
      <c r="E16" s="56"/>
      <c r="G16" s="3" t="s">
        <v>570</v>
      </c>
    </row>
    <row r="17" spans="2:7" ht="15" thickBot="1">
      <c r="E17" s="56"/>
    </row>
    <row r="18" spans="2:7" ht="17" thickBot="1">
      <c r="B18" s="620" t="s">
        <v>286</v>
      </c>
      <c r="C18" s="620"/>
      <c r="D18" s="620"/>
      <c r="E18" s="621">
        <v>0.8</v>
      </c>
      <c r="G18" s="3" t="s">
        <v>180</v>
      </c>
    </row>
    <row r="19" spans="2:7" ht="17" thickBot="1">
      <c r="B19" s="620" t="s">
        <v>287</v>
      </c>
      <c r="C19" s="620"/>
      <c r="D19" s="620"/>
      <c r="E19" s="621">
        <f>1-$E$18</f>
        <v>0.19999999999999996</v>
      </c>
      <c r="G19" s="3" t="s">
        <v>179</v>
      </c>
    </row>
    <row r="20" spans="2:7" ht="15" thickBot="1">
      <c r="E20" s="56"/>
    </row>
    <row r="21" spans="2:7" ht="17" thickBot="1">
      <c r="B21" s="620" t="s">
        <v>288</v>
      </c>
      <c r="C21" s="620"/>
      <c r="D21" s="620"/>
      <c r="E21" s="623">
        <v>2.5</v>
      </c>
      <c r="G21" s="3" t="s">
        <v>182</v>
      </c>
    </row>
    <row r="22" spans="2:7">
      <c r="E22" s="56"/>
      <c r="G22" s="3" t="s">
        <v>181</v>
      </c>
    </row>
    <row r="23" spans="2:7">
      <c r="E23" s="56"/>
    </row>
    <row r="24" spans="2:7">
      <c r="B24" s="624" t="s">
        <v>330</v>
      </c>
      <c r="C24" s="620"/>
      <c r="D24" s="620"/>
      <c r="E24" s="625"/>
    </row>
    <row r="25" spans="2:7" ht="15" thickBot="1">
      <c r="B25" s="626"/>
      <c r="C25" s="620"/>
      <c r="D25" s="620"/>
      <c r="E25" s="625"/>
    </row>
    <row r="26" spans="2:7" ht="15" thickBot="1">
      <c r="B26" s="620" t="s">
        <v>543</v>
      </c>
      <c r="C26" s="620"/>
      <c r="D26" s="620"/>
      <c r="E26" s="632">
        <v>0</v>
      </c>
    </row>
    <row r="27" spans="2:7" ht="15" thickBot="1">
      <c r="B27" s="620" t="s">
        <v>544</v>
      </c>
      <c r="C27" s="620"/>
      <c r="D27" s="620"/>
      <c r="E27" s="632">
        <v>0</v>
      </c>
      <c r="G27" s="627"/>
    </row>
    <row r="28" spans="2:7" ht="15" thickBot="1">
      <c r="B28" s="620" t="s">
        <v>545</v>
      </c>
      <c r="C28" s="620"/>
      <c r="D28" s="620"/>
      <c r="E28" s="632">
        <v>0</v>
      </c>
    </row>
    <row r="29" spans="2:7" ht="15" thickBot="1">
      <c r="B29" s="620" t="s">
        <v>546</v>
      </c>
      <c r="C29" s="620"/>
      <c r="D29" s="620"/>
      <c r="E29" s="632">
        <v>0</v>
      </c>
    </row>
    <row r="30" spans="2:7" ht="15" thickBot="1">
      <c r="B30" s="626"/>
      <c r="C30" s="620"/>
      <c r="D30" s="620"/>
      <c r="E30" s="628"/>
    </row>
    <row r="31" spans="2:7" ht="15" thickBot="1">
      <c r="B31" s="626" t="str">
        <f>"Consumptieprijsindex voor juli "&amp;JAAR-1</f>
        <v>Consumptieprijsindex voor juli 2021</v>
      </c>
      <c r="C31" s="620"/>
      <c r="D31" s="620"/>
      <c r="E31" s="633">
        <v>0</v>
      </c>
      <c r="G31" s="3" t="s">
        <v>571</v>
      </c>
    </row>
    <row r="32" spans="2:7" ht="15" thickBot="1">
      <c r="B32" s="626" t="s">
        <v>289</v>
      </c>
      <c r="C32" s="620"/>
      <c r="D32" s="620"/>
      <c r="E32" s="633">
        <v>0</v>
      </c>
    </row>
    <row r="33" spans="2:7">
      <c r="B33" s="626"/>
      <c r="C33" s="620"/>
      <c r="D33" s="620"/>
      <c r="E33" s="625"/>
    </row>
    <row r="34" spans="2:7">
      <c r="B34" s="624" t="s">
        <v>331</v>
      </c>
      <c r="C34" s="620"/>
      <c r="D34" s="620"/>
      <c r="E34" s="625"/>
    </row>
    <row r="35" spans="2:7" ht="15" thickBot="1">
      <c r="B35" s="620"/>
      <c r="C35" s="620"/>
      <c r="D35" s="620"/>
      <c r="E35" s="625"/>
    </row>
    <row r="36" spans="2:7" ht="15" thickBot="1">
      <c r="B36" s="620" t="s">
        <v>294</v>
      </c>
      <c r="C36" s="620"/>
      <c r="D36" s="620"/>
      <c r="E36" s="621">
        <v>0.3</v>
      </c>
      <c r="G36" s="3" t="s">
        <v>176</v>
      </c>
    </row>
    <row r="37" spans="2:7" ht="15" thickBot="1">
      <c r="B37" s="620" t="s">
        <v>296</v>
      </c>
      <c r="C37" s="620"/>
      <c r="D37" s="620"/>
      <c r="E37" s="1225">
        <v>0</v>
      </c>
      <c r="G37" s="3" t="s">
        <v>177</v>
      </c>
    </row>
    <row r="38" spans="2:7" ht="15" thickBot="1">
      <c r="B38" s="620" t="s">
        <v>295</v>
      </c>
      <c r="C38" s="620"/>
      <c r="D38" s="620"/>
      <c r="E38" s="1225">
        <v>0</v>
      </c>
    </row>
    <row r="39" spans="2:7" ht="15" thickBot="1">
      <c r="E39" s="56"/>
    </row>
    <row r="40" spans="2:7" ht="15" thickBot="1">
      <c r="B40" s="620" t="s">
        <v>186</v>
      </c>
      <c r="C40" s="620"/>
      <c r="D40" s="620"/>
      <c r="E40" s="1265">
        <f>IF(JAAR=2022,60%,IF(JAAR=2023,50%,IF(JAAR=2024,40%,"FOUT")))</f>
        <v>0.6</v>
      </c>
      <c r="G40" s="3" t="s">
        <v>183</v>
      </c>
    </row>
    <row r="41" spans="2:7">
      <c r="E41" s="56"/>
      <c r="G41" s="1266" t="s">
        <v>581</v>
      </c>
    </row>
    <row r="42" spans="2:7">
      <c r="B42" s="629" t="s">
        <v>332</v>
      </c>
      <c r="C42" s="620"/>
      <c r="D42" s="620"/>
      <c r="E42" s="625"/>
    </row>
    <row r="43" spans="2:7" ht="15" thickBot="1">
      <c r="B43" s="630"/>
      <c r="C43" s="620"/>
      <c r="D43" s="620"/>
      <c r="E43" s="625"/>
    </row>
    <row r="44" spans="2:7" ht="15" thickBot="1">
      <c r="B44" s="630" t="s">
        <v>297</v>
      </c>
      <c r="C44" s="620"/>
      <c r="D44" s="620"/>
      <c r="E44" s="634">
        <v>0</v>
      </c>
      <c r="G44" s="627"/>
    </row>
    <row r="45" spans="2:7" ht="15" thickBot="1">
      <c r="B45" s="630" t="s">
        <v>298</v>
      </c>
      <c r="C45" s="620"/>
      <c r="D45" s="620"/>
      <c r="E45" s="634">
        <v>0</v>
      </c>
    </row>
    <row r="46" spans="2:7" ht="15" thickBot="1">
      <c r="B46" s="630" t="s">
        <v>299</v>
      </c>
      <c r="C46" s="620"/>
      <c r="D46" s="620"/>
      <c r="E46" s="634">
        <v>0</v>
      </c>
    </row>
    <row r="47" spans="2:7" ht="15" thickBot="1">
      <c r="B47" s="630" t="s">
        <v>300</v>
      </c>
      <c r="C47" s="620"/>
      <c r="D47" s="620"/>
      <c r="E47" s="634">
        <v>0</v>
      </c>
    </row>
    <row r="48" spans="2:7" ht="15" thickBot="1">
      <c r="B48" s="630" t="s">
        <v>301</v>
      </c>
      <c r="C48" s="620"/>
      <c r="D48" s="620"/>
      <c r="E48" s="634">
        <v>0</v>
      </c>
    </row>
    <row r="49" spans="1:9" ht="15" thickBot="1">
      <c r="B49" s="626" t="s">
        <v>254</v>
      </c>
      <c r="C49" s="620"/>
      <c r="D49" s="620"/>
      <c r="E49" s="634">
        <v>0</v>
      </c>
    </row>
    <row r="50" spans="1:9">
      <c r="B50" s="626"/>
      <c r="C50" s="620"/>
      <c r="D50" s="620"/>
      <c r="E50" s="625"/>
    </row>
    <row r="51" spans="1:9">
      <c r="B51" s="629" t="s">
        <v>333</v>
      </c>
      <c r="C51" s="620"/>
      <c r="D51" s="620"/>
      <c r="E51" s="625"/>
    </row>
    <row r="52" spans="1:9" ht="15" thickBot="1"/>
    <row r="53" spans="1:9" ht="15" thickBot="1">
      <c r="B53" s="3" t="s">
        <v>550</v>
      </c>
      <c r="E53" s="1224">
        <v>0</v>
      </c>
      <c r="G53" s="3" t="s">
        <v>580</v>
      </c>
    </row>
    <row r="54" spans="1:9" ht="15" thickBot="1">
      <c r="B54" s="3" t="s">
        <v>290</v>
      </c>
      <c r="E54" s="621">
        <v>0.9</v>
      </c>
      <c r="G54" s="3" t="s">
        <v>223</v>
      </c>
    </row>
    <row r="55" spans="1:9" ht="15" thickBot="1">
      <c r="B55" s="3" t="s">
        <v>291</v>
      </c>
      <c r="E55" s="631">
        <v>950</v>
      </c>
    </row>
    <row r="56" spans="1:9" ht="15" thickBot="1">
      <c r="B56" s="3" t="s">
        <v>292</v>
      </c>
      <c r="E56" s="621">
        <v>0.36</v>
      </c>
    </row>
    <row r="58" spans="1:9">
      <c r="B58" s="619" t="s">
        <v>334</v>
      </c>
    </row>
    <row r="59" spans="1:9" ht="15" thickBot="1"/>
    <row r="60" spans="1:9" ht="15" thickBot="1">
      <c r="B60" s="620" t="s">
        <v>293</v>
      </c>
      <c r="C60" s="620"/>
      <c r="D60" s="620"/>
      <c r="E60" s="621">
        <v>0.75</v>
      </c>
      <c r="G60" s="3" t="s">
        <v>184</v>
      </c>
    </row>
    <row r="61" spans="1:9">
      <c r="B61" s="620"/>
      <c r="C61" s="620"/>
      <c r="D61" s="620"/>
      <c r="E61" s="625"/>
    </row>
    <row r="62" spans="1:9">
      <c r="B62" s="620"/>
      <c r="C62" s="620"/>
      <c r="D62" s="620"/>
      <c r="E62" s="625"/>
    </row>
    <row r="63" spans="1:9">
      <c r="B63" s="620"/>
      <c r="C63" s="620"/>
      <c r="D63" s="620"/>
      <c r="E63" s="625"/>
    </row>
    <row r="64" spans="1:9">
      <c r="A64" s="616"/>
      <c r="B64" s="1414" t="s">
        <v>192</v>
      </c>
      <c r="C64" s="1414"/>
      <c r="D64" s="1414"/>
      <c r="E64" s="1414"/>
      <c r="F64" s="1414"/>
      <c r="G64" s="1414"/>
      <c r="H64" s="617"/>
      <c r="I64" s="618"/>
    </row>
    <row r="66" spans="2:8">
      <c r="B66" s="619" t="s">
        <v>304</v>
      </c>
    </row>
    <row r="68" spans="2:8">
      <c r="B68" s="1412" t="s">
        <v>569</v>
      </c>
      <c r="C68" s="1412"/>
      <c r="D68" s="1412"/>
      <c r="E68" s="1412"/>
      <c r="F68" s="1412"/>
      <c r="G68" s="1412"/>
      <c r="H68" s="1412"/>
    </row>
    <row r="70" spans="2:8">
      <c r="B70" s="3" t="s">
        <v>102</v>
      </c>
      <c r="E70" s="1412" t="s">
        <v>275</v>
      </c>
      <c r="F70" s="1412"/>
      <c r="G70" s="1412"/>
      <c r="H70" s="1412"/>
    </row>
    <row r="71" spans="2:8">
      <c r="B71" s="3" t="s">
        <v>132</v>
      </c>
      <c r="E71" s="1412"/>
      <c r="F71" s="1412"/>
      <c r="G71" s="1412"/>
      <c r="H71" s="1412"/>
    </row>
    <row r="73" spans="2:8">
      <c r="B73" s="3" t="s">
        <v>133</v>
      </c>
      <c r="E73" s="1412" t="s">
        <v>276</v>
      </c>
      <c r="F73" s="1412"/>
      <c r="G73" s="1412"/>
      <c r="H73" s="1412"/>
    </row>
    <row r="74" spans="2:8">
      <c r="B74" s="3" t="s">
        <v>269</v>
      </c>
      <c r="E74" s="1412"/>
      <c r="F74" s="1412"/>
      <c r="G74" s="1412"/>
      <c r="H74" s="1412"/>
    </row>
    <row r="75" spans="2:8">
      <c r="B75" s="3" t="s">
        <v>270</v>
      </c>
      <c r="E75" s="1412"/>
      <c r="F75" s="1412"/>
      <c r="G75" s="1412"/>
      <c r="H75" s="1412"/>
    </row>
    <row r="77" spans="2:8">
      <c r="B77" s="3" t="s">
        <v>103</v>
      </c>
    </row>
    <row r="79" spans="2:8">
      <c r="B79" s="3" t="s">
        <v>119</v>
      </c>
      <c r="E79" s="1412" t="s">
        <v>307</v>
      </c>
      <c r="F79" s="1412"/>
      <c r="G79" s="1412"/>
      <c r="H79" s="1412"/>
    </row>
    <row r="80" spans="2:8">
      <c r="B80" s="3" t="s">
        <v>547</v>
      </c>
      <c r="E80" s="1412"/>
      <c r="F80" s="1412"/>
      <c r="G80" s="1412"/>
      <c r="H80" s="1412"/>
    </row>
    <row r="81" spans="2:9">
      <c r="B81" s="3" t="s">
        <v>120</v>
      </c>
      <c r="E81" s="1412" t="s">
        <v>549</v>
      </c>
      <c r="F81" s="1412"/>
      <c r="G81" s="1412"/>
      <c r="H81" s="1412"/>
      <c r="I81" s="1412"/>
    </row>
    <row r="82" spans="2:9">
      <c r="B82" s="3" t="s">
        <v>548</v>
      </c>
      <c r="E82" s="1412"/>
      <c r="F82" s="1412"/>
      <c r="G82" s="1412"/>
      <c r="H82" s="1412"/>
      <c r="I82" s="1412"/>
    </row>
    <row r="83" spans="2:9">
      <c r="B83" s="3" t="s">
        <v>121</v>
      </c>
      <c r="E83" s="1412"/>
      <c r="F83" s="1412"/>
      <c r="G83" s="1412"/>
      <c r="H83" s="1412"/>
      <c r="I83" s="1412"/>
    </row>
    <row r="85" spans="2:9">
      <c r="B85" s="3" t="s">
        <v>209</v>
      </c>
      <c r="E85" s="1412" t="s">
        <v>278</v>
      </c>
      <c r="F85" s="1412"/>
      <c r="G85" s="1412"/>
      <c r="H85" s="1412"/>
    </row>
    <row r="86" spans="2:9">
      <c r="B86" s="3" t="s">
        <v>267</v>
      </c>
      <c r="E86" s="1412"/>
      <c r="F86" s="1412"/>
      <c r="G86" s="1412"/>
      <c r="H86" s="1412"/>
    </row>
    <row r="87" spans="2:9">
      <c r="B87" s="3" t="s">
        <v>271</v>
      </c>
      <c r="E87" s="1412"/>
      <c r="F87" s="1412"/>
      <c r="G87" s="1412"/>
      <c r="H87" s="1412"/>
    </row>
    <row r="88" spans="2:9">
      <c r="B88" s="3" t="s">
        <v>104</v>
      </c>
      <c r="E88" s="1412"/>
      <c r="F88" s="1412"/>
      <c r="G88" s="1412"/>
      <c r="H88" s="1412"/>
    </row>
    <row r="89" spans="2:9">
      <c r="B89" s="3" t="s">
        <v>105</v>
      </c>
      <c r="E89" s="1412"/>
      <c r="F89" s="1412"/>
      <c r="G89" s="1412"/>
      <c r="H89" s="1412"/>
    </row>
    <row r="93" spans="2:9" ht="16.5">
      <c r="B93" s="619" t="s">
        <v>305</v>
      </c>
    </row>
    <row r="95" spans="2:9">
      <c r="B95" s="3" t="s">
        <v>189</v>
      </c>
    </row>
    <row r="103" spans="2:8">
      <c r="B103" s="3" t="s">
        <v>190</v>
      </c>
    </row>
    <row r="107" spans="2:8">
      <c r="B107" s="3" t="s">
        <v>191</v>
      </c>
    </row>
    <row r="111" spans="2:8" ht="30" customHeight="1">
      <c r="B111" s="1415" t="s">
        <v>302</v>
      </c>
      <c r="C111" s="1415"/>
      <c r="D111" s="1415"/>
      <c r="E111" s="1415"/>
      <c r="F111" s="1415"/>
      <c r="G111" s="1415"/>
      <c r="H111" s="1415"/>
    </row>
    <row r="113" spans="2:8">
      <c r="H113" s="627"/>
    </row>
    <row r="122" spans="2:8" ht="30" customHeight="1">
      <c r="B122" s="1415" t="s">
        <v>226</v>
      </c>
      <c r="C122" s="1415"/>
      <c r="D122" s="1415"/>
      <c r="E122" s="1415"/>
      <c r="F122" s="1415"/>
      <c r="G122" s="1415"/>
      <c r="H122" s="1415"/>
    </row>
    <row r="124" spans="2:8">
      <c r="B124" s="3" t="s">
        <v>187</v>
      </c>
    </row>
    <row r="126" spans="2:8" ht="15" customHeight="1">
      <c r="C126" s="1411" t="s">
        <v>188</v>
      </c>
      <c r="D126" s="1411"/>
      <c r="E126" s="1411"/>
      <c r="F126" s="1411"/>
      <c r="G126" s="1411"/>
      <c r="H126" s="1411"/>
    </row>
    <row r="128" spans="2:8" ht="30" customHeight="1">
      <c r="C128" s="1411" t="s">
        <v>264</v>
      </c>
      <c r="D128" s="1411"/>
      <c r="E128" s="1411"/>
      <c r="F128" s="1411"/>
      <c r="G128" s="1411"/>
      <c r="H128" s="1411"/>
    </row>
    <row r="130" spans="3:8" ht="30" customHeight="1">
      <c r="C130" s="1411" t="s">
        <v>265</v>
      </c>
      <c r="D130" s="1411"/>
      <c r="E130" s="1411"/>
      <c r="F130" s="1411"/>
      <c r="G130" s="1411"/>
      <c r="H130" s="1411"/>
    </row>
    <row r="132" spans="3:8" ht="30" customHeight="1">
      <c r="C132" s="1411" t="s">
        <v>266</v>
      </c>
      <c r="D132" s="1411"/>
      <c r="E132" s="1411"/>
      <c r="F132" s="1411"/>
      <c r="G132" s="1411"/>
      <c r="H132" s="1411"/>
    </row>
  </sheetData>
  <sheetProtection algorithmName="SHA-512" hashValue="WXdQ68J88aPr9mudoIp5x2exsz4/KatMcnQYgVbnUi8mNH5Gt4n/OLzrqFKUVAQhj+WaiFpD1n7DKmH5UHqcIg==" saltValue="4TZ642ePt6xpqL9NPCKavA==" spinCount="100000" sheet="1" objects="1" scenarios="1"/>
  <mergeCells count="17">
    <mergeCell ref="K13:N14"/>
    <mergeCell ref="B64:G64"/>
    <mergeCell ref="B122:H122"/>
    <mergeCell ref="A1:I1"/>
    <mergeCell ref="B7:G7"/>
    <mergeCell ref="E4:G4"/>
    <mergeCell ref="B111:H111"/>
    <mergeCell ref="B68:H68"/>
    <mergeCell ref="E81:I83"/>
    <mergeCell ref="C126:H126"/>
    <mergeCell ref="C128:H128"/>
    <mergeCell ref="C130:H130"/>
    <mergeCell ref="C132:H132"/>
    <mergeCell ref="E70:H71"/>
    <mergeCell ref="E73:H75"/>
    <mergeCell ref="E79:H80"/>
    <mergeCell ref="E85:H89"/>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7CE8-0584-4B91-AEEA-919CA7A5C573}">
  <sheetPr>
    <pageSetUpPr fitToPage="1"/>
  </sheetPr>
  <dimension ref="A1:K58"/>
  <sheetViews>
    <sheetView zoomScaleNormal="100" workbookViewId="0">
      <selection activeCell="A2" sqref="A2"/>
    </sheetView>
  </sheetViews>
  <sheetFormatPr defaultColWidth="9.1796875" defaultRowHeight="12.5"/>
  <cols>
    <col min="1" max="1" width="8.54296875" style="1309" customWidth="1"/>
    <col min="2" max="2" width="75.1796875" style="1309" customWidth="1"/>
    <col min="3" max="3" width="27" style="1309" bestFit="1" customWidth="1"/>
    <col min="4" max="11" width="20.7265625" style="1309" customWidth="1"/>
    <col min="12" max="16384" width="9.1796875" style="1309"/>
  </cols>
  <sheetData>
    <row r="1" spans="1:11" ht="20.5" thickBot="1">
      <c r="A1" s="1655" t="str">
        <f>DNB&amp;" - AARDGAS - Tarieflijst periodieke distributienettarieven "&amp;JAAR&amp;" - Afname"</f>
        <v>Naam distributienetbeheerder - AARDGAS - Tarieflijst periodieke distributienettarieven 2022 - Afname</v>
      </c>
      <c r="B1" s="1656"/>
      <c r="C1" s="1656"/>
      <c r="D1" s="1656"/>
      <c r="E1" s="1656"/>
      <c r="F1" s="1656"/>
      <c r="G1" s="1656"/>
      <c r="H1" s="1656"/>
      <c r="I1" s="1656"/>
      <c r="J1" s="1656"/>
      <c r="K1" s="1657"/>
    </row>
    <row r="2" spans="1:11">
      <c r="J2" s="1310"/>
      <c r="K2" s="1310"/>
    </row>
    <row r="3" spans="1:11" ht="15" customHeight="1" thickBot="1">
      <c r="J3" s="1311"/>
      <c r="K3" s="1311"/>
    </row>
    <row r="4" spans="1:11" ht="15" customHeight="1">
      <c r="A4" s="1658"/>
      <c r="B4" s="1659"/>
      <c r="C4" s="1660"/>
      <c r="D4" s="1664" t="s">
        <v>523</v>
      </c>
      <c r="E4" s="1665"/>
      <c r="F4" s="1665"/>
      <c r="G4" s="1665"/>
      <c r="H4" s="1664" t="s">
        <v>522</v>
      </c>
      <c r="I4" s="1665"/>
      <c r="J4" s="1664" t="s">
        <v>521</v>
      </c>
      <c r="K4" s="1670"/>
    </row>
    <row r="5" spans="1:11" ht="21" customHeight="1" thickBot="1">
      <c r="A5" s="1661"/>
      <c r="B5" s="1662"/>
      <c r="C5" s="1663"/>
      <c r="D5" s="1666"/>
      <c r="E5" s="1667"/>
      <c r="F5" s="1667"/>
      <c r="G5" s="1667"/>
      <c r="H5" s="1668"/>
      <c r="I5" s="1669"/>
      <c r="J5" s="1668"/>
      <c r="K5" s="1671"/>
    </row>
    <row r="6" spans="1:11" ht="21" customHeight="1" thickBot="1">
      <c r="A6" s="1661"/>
      <c r="B6" s="1662"/>
      <c r="C6" s="1663"/>
      <c r="D6" s="1312" t="s">
        <v>392</v>
      </c>
      <c r="E6" s="1313" t="s">
        <v>391</v>
      </c>
      <c r="F6" s="1314" t="s">
        <v>390</v>
      </c>
      <c r="G6" s="1315" t="s">
        <v>389</v>
      </c>
      <c r="H6" s="1312" t="s">
        <v>388</v>
      </c>
      <c r="I6" s="1316" t="s">
        <v>376</v>
      </c>
      <c r="J6" s="1317" t="s">
        <v>520</v>
      </c>
      <c r="K6" s="1318" t="s">
        <v>386</v>
      </c>
    </row>
    <row r="7" spans="1:11" ht="21" customHeight="1" thickBot="1">
      <c r="A7" s="1661"/>
      <c r="B7" s="1662"/>
      <c r="C7" s="1663"/>
      <c r="D7" s="1668" t="s">
        <v>519</v>
      </c>
      <c r="E7" s="1669"/>
      <c r="F7" s="1669"/>
      <c r="G7" s="1669"/>
      <c r="H7" s="1668" t="s">
        <v>519</v>
      </c>
      <c r="I7" s="1669"/>
      <c r="J7" s="1668" t="s">
        <v>518</v>
      </c>
      <c r="K7" s="1671"/>
    </row>
    <row r="8" spans="1:11" ht="18" customHeight="1">
      <c r="A8" s="1661"/>
      <c r="B8" s="1662"/>
      <c r="C8" s="1663"/>
      <c r="D8" s="1319" t="s">
        <v>517</v>
      </c>
      <c r="E8" s="1320" t="s">
        <v>516</v>
      </c>
      <c r="F8" s="1321" t="s">
        <v>515</v>
      </c>
      <c r="G8" s="1322" t="s">
        <v>514</v>
      </c>
      <c r="H8" s="1319" t="s">
        <v>513</v>
      </c>
      <c r="I8" s="1323" t="s">
        <v>512</v>
      </c>
      <c r="J8" s="1668"/>
      <c r="K8" s="1671"/>
    </row>
    <row r="9" spans="1:11" ht="18" customHeight="1" thickBot="1">
      <c r="A9" s="1324"/>
      <c r="B9" s="1325"/>
      <c r="C9" s="1326"/>
      <c r="D9" s="1327"/>
      <c r="E9" s="1328"/>
      <c r="F9" s="1329"/>
      <c r="G9" s="1330"/>
      <c r="H9" s="1327"/>
      <c r="I9" s="1331"/>
      <c r="J9" s="1327"/>
      <c r="K9" s="1332"/>
    </row>
    <row r="10" spans="1:11" ht="18.75" customHeight="1">
      <c r="A10" s="1333" t="s">
        <v>511</v>
      </c>
      <c r="B10" s="1334"/>
      <c r="C10" s="1335"/>
      <c r="D10" s="1336"/>
      <c r="E10" s="1337"/>
      <c r="F10" s="1337"/>
      <c r="G10" s="1338"/>
      <c r="H10" s="1336"/>
      <c r="I10" s="1334"/>
      <c r="J10" s="1336"/>
      <c r="K10" s="1335"/>
    </row>
    <row r="11" spans="1:11" ht="18.75" customHeight="1">
      <c r="A11" s="1333"/>
      <c r="B11" s="1334"/>
      <c r="C11" s="1335"/>
      <c r="D11" s="1336"/>
      <c r="E11" s="1337"/>
      <c r="F11" s="1337"/>
      <c r="G11" s="1337"/>
      <c r="H11" s="1336"/>
      <c r="I11" s="1334"/>
      <c r="J11" s="1336"/>
      <c r="K11" s="1335"/>
    </row>
    <row r="12" spans="1:11" ht="18.75" customHeight="1">
      <c r="A12" s="1339" t="s">
        <v>499</v>
      </c>
      <c r="B12" s="1340" t="s">
        <v>510</v>
      </c>
      <c r="C12" s="1341"/>
      <c r="D12" s="1336"/>
      <c r="E12" s="1337"/>
      <c r="F12" s="1337"/>
      <c r="G12" s="1337"/>
      <c r="H12" s="1336"/>
      <c r="I12" s="1334"/>
      <c r="J12" s="1336"/>
      <c r="K12" s="1335"/>
    </row>
    <row r="13" spans="1:11" ht="18.75" customHeight="1">
      <c r="A13" s="1342"/>
      <c r="B13" s="1343" t="s">
        <v>509</v>
      </c>
      <c r="C13" s="1344" t="s">
        <v>447</v>
      </c>
      <c r="D13" s="1345">
        <f>'T7'!$E$13</f>
        <v>0</v>
      </c>
      <c r="E13" s="1346">
        <f>'T7'!$F$13</f>
        <v>0</v>
      </c>
      <c r="F13" s="1346">
        <f>'T7'!$G$13</f>
        <v>0</v>
      </c>
      <c r="G13" s="1346">
        <f>'T7'!$H$13</f>
        <v>0</v>
      </c>
      <c r="H13" s="1347"/>
      <c r="I13" s="1348"/>
      <c r="J13" s="1347"/>
      <c r="K13" s="1349"/>
    </row>
    <row r="14" spans="1:11" ht="18.75" customHeight="1">
      <c r="A14" s="1342"/>
      <c r="B14" s="1343" t="s">
        <v>508</v>
      </c>
      <c r="C14" s="1344" t="s">
        <v>399</v>
      </c>
      <c r="D14" s="1350">
        <f>'T7'!$E$14</f>
        <v>0</v>
      </c>
      <c r="E14" s="1351">
        <f>'T7'!$F$14</f>
        <v>0</v>
      </c>
      <c r="F14" s="1351">
        <f>'T7'!$G$14</f>
        <v>0</v>
      </c>
      <c r="G14" s="1351">
        <f>'T7'!$H$14</f>
        <v>0</v>
      </c>
      <c r="H14" s="1350">
        <f>'T7'!$I$14</f>
        <v>0</v>
      </c>
      <c r="I14" s="1352">
        <f>'T7'!$J$14</f>
        <v>0</v>
      </c>
      <c r="J14" s="1350">
        <f>'T7'!$K$14</f>
        <v>0</v>
      </c>
      <c r="K14" s="1353">
        <f>'T7'!$L$14</f>
        <v>0</v>
      </c>
    </row>
    <row r="15" spans="1:11" ht="18.75" customHeight="1">
      <c r="A15" s="1342"/>
      <c r="B15" s="1343" t="s">
        <v>507</v>
      </c>
      <c r="C15" s="1344" t="s">
        <v>506</v>
      </c>
      <c r="D15" s="1354"/>
      <c r="E15" s="1355"/>
      <c r="F15" s="1355"/>
      <c r="G15" s="1355"/>
      <c r="H15" s="1350">
        <f>'T7'!$I$15</f>
        <v>0</v>
      </c>
      <c r="I15" s="1352">
        <f>'T7'!$J$15</f>
        <v>0</v>
      </c>
      <c r="J15" s="1354"/>
      <c r="K15" s="1356"/>
    </row>
    <row r="16" spans="1:11" s="1361" customFormat="1" ht="18" customHeight="1">
      <c r="A16" s="1342"/>
      <c r="B16" s="1334"/>
      <c r="C16" s="1335"/>
      <c r="D16" s="1357"/>
      <c r="E16" s="1358"/>
      <c r="F16" s="1358"/>
      <c r="G16" s="1358"/>
      <c r="H16" s="1357"/>
      <c r="I16" s="1359"/>
      <c r="J16" s="1357"/>
      <c r="K16" s="1360"/>
    </row>
    <row r="17" spans="1:11" ht="18" customHeight="1">
      <c r="A17" s="1339" t="s">
        <v>497</v>
      </c>
      <c r="B17" s="1340" t="s">
        <v>505</v>
      </c>
      <c r="C17" s="1344" t="s">
        <v>399</v>
      </c>
      <c r="D17" s="1362"/>
      <c r="E17" s="1363"/>
      <c r="F17" s="1364"/>
      <c r="G17" s="1364"/>
      <c r="H17" s="1365"/>
      <c r="I17" s="1364"/>
      <c r="J17" s="1365"/>
      <c r="K17" s="1366"/>
    </row>
    <row r="18" spans="1:11" ht="18" customHeight="1">
      <c r="A18" s="1342"/>
      <c r="B18" s="1334"/>
      <c r="C18" s="1367"/>
      <c r="D18" s="1358"/>
      <c r="E18" s="1358"/>
      <c r="F18" s="1358"/>
      <c r="G18" s="1358"/>
      <c r="H18" s="1357"/>
      <c r="I18" s="1359"/>
      <c r="J18" s="1357"/>
      <c r="K18" s="1360"/>
    </row>
    <row r="19" spans="1:11" ht="17.25" customHeight="1">
      <c r="A19" s="1339" t="s">
        <v>495</v>
      </c>
      <c r="B19" s="1368" t="s">
        <v>365</v>
      </c>
      <c r="C19" s="1367"/>
      <c r="D19" s="1358"/>
      <c r="E19" s="1358"/>
      <c r="F19" s="1358"/>
      <c r="G19" s="1358"/>
      <c r="H19" s="1357"/>
      <c r="I19" s="1359"/>
      <c r="J19" s="1357"/>
      <c r="K19" s="1360"/>
    </row>
    <row r="20" spans="1:11" ht="18" customHeight="1">
      <c r="A20" s="1342"/>
      <c r="B20" s="1343" t="s">
        <v>7</v>
      </c>
      <c r="C20" s="1344" t="s">
        <v>447</v>
      </c>
      <c r="D20" s="1652"/>
      <c r="E20" s="1653"/>
      <c r="F20" s="1653"/>
      <c r="G20" s="1654"/>
      <c r="H20" s="1649">
        <f>'T7'!$I$19</f>
        <v>0</v>
      </c>
      <c r="I20" s="1651"/>
      <c r="J20" s="1652"/>
      <c r="K20" s="1654"/>
    </row>
    <row r="21" spans="1:11" ht="18" customHeight="1">
      <c r="A21" s="1342"/>
      <c r="B21" s="1343" t="s">
        <v>8</v>
      </c>
      <c r="C21" s="1344" t="s">
        <v>447</v>
      </c>
      <c r="D21" s="1649">
        <f>'T7'!$E$20</f>
        <v>0</v>
      </c>
      <c r="E21" s="1650"/>
      <c r="F21" s="1650"/>
      <c r="G21" s="1651"/>
      <c r="H21" s="1652"/>
      <c r="I21" s="1653"/>
      <c r="J21" s="1652"/>
      <c r="K21" s="1654"/>
    </row>
    <row r="22" spans="1:11" ht="21" customHeight="1">
      <c r="A22" s="1342"/>
      <c r="B22" s="1343" t="s">
        <v>504</v>
      </c>
      <c r="C22" s="1344" t="s">
        <v>447</v>
      </c>
      <c r="D22" s="1649">
        <f>'T7'!$E$21</f>
        <v>0</v>
      </c>
      <c r="E22" s="1650"/>
      <c r="F22" s="1650"/>
      <c r="G22" s="1651"/>
      <c r="H22" s="1652"/>
      <c r="I22" s="1653"/>
      <c r="J22" s="1652"/>
      <c r="K22" s="1654"/>
    </row>
    <row r="23" spans="1:11" ht="18" customHeight="1">
      <c r="A23" s="1342"/>
      <c r="B23" s="1334"/>
      <c r="C23" s="1367"/>
      <c r="D23" s="1357"/>
      <c r="E23" s="1358"/>
      <c r="F23" s="1358"/>
      <c r="G23" s="1369"/>
      <c r="H23" s="1357"/>
      <c r="I23" s="1359"/>
      <c r="J23" s="1357"/>
      <c r="K23" s="1360"/>
    </row>
    <row r="24" spans="1:11" ht="18" customHeight="1">
      <c r="A24" s="1333" t="s">
        <v>503</v>
      </c>
      <c r="B24" s="1334"/>
      <c r="C24" s="1344" t="s">
        <v>399</v>
      </c>
      <c r="D24" s="1370">
        <f>'T7'!$E$23</f>
        <v>0</v>
      </c>
      <c r="E24" s="1371">
        <f>'T7'!$F$23</f>
        <v>0</v>
      </c>
      <c r="F24" s="1372">
        <f>'T7'!$G$23</f>
        <v>0</v>
      </c>
      <c r="G24" s="1364"/>
      <c r="H24" s="1365"/>
      <c r="I24" s="1364"/>
      <c r="J24" s="1365"/>
      <c r="K24" s="1366"/>
    </row>
    <row r="25" spans="1:11" ht="18" customHeight="1">
      <c r="A25" s="1342"/>
      <c r="B25" s="1334"/>
      <c r="C25" s="1367"/>
      <c r="D25" s="1357"/>
      <c r="E25" s="1358"/>
      <c r="F25" s="1358"/>
      <c r="G25" s="1358"/>
      <c r="H25" s="1357"/>
      <c r="I25" s="1359"/>
      <c r="J25" s="1357"/>
      <c r="K25" s="1360"/>
    </row>
    <row r="26" spans="1:11" ht="20.25" customHeight="1">
      <c r="A26" s="1333" t="s">
        <v>502</v>
      </c>
      <c r="B26" s="1334"/>
      <c r="C26" s="1344" t="s">
        <v>399</v>
      </c>
      <c r="D26" s="1362"/>
      <c r="E26" s="1363"/>
      <c r="F26" s="1364"/>
      <c r="G26" s="1364"/>
      <c r="H26" s="1365"/>
      <c r="I26" s="1364"/>
      <c r="J26" s="1365"/>
      <c r="K26" s="1366"/>
    </row>
    <row r="27" spans="1:11" ht="18" customHeight="1">
      <c r="A27" s="1342"/>
      <c r="B27" s="1334"/>
      <c r="C27" s="1367"/>
      <c r="D27" s="1357"/>
      <c r="E27" s="1358"/>
      <c r="F27" s="1358"/>
      <c r="G27" s="1358"/>
      <c r="H27" s="1357"/>
      <c r="I27" s="1359"/>
      <c r="J27" s="1357"/>
      <c r="K27" s="1360"/>
    </row>
    <row r="28" spans="1:11" ht="17.25" customHeight="1">
      <c r="A28" s="1333" t="s">
        <v>501</v>
      </c>
      <c r="B28" s="1334"/>
      <c r="C28" s="1344" t="s">
        <v>399</v>
      </c>
      <c r="D28" s="1362"/>
      <c r="E28" s="1363"/>
      <c r="F28" s="1364"/>
      <c r="G28" s="1364"/>
      <c r="H28" s="1365"/>
      <c r="I28" s="1364"/>
      <c r="J28" s="1365"/>
      <c r="K28" s="1366"/>
    </row>
    <row r="29" spans="1:11" ht="18" customHeight="1">
      <c r="A29" s="1342"/>
      <c r="B29" s="1334"/>
      <c r="C29" s="1367"/>
      <c r="D29" s="1357"/>
      <c r="E29" s="1358"/>
      <c r="F29" s="1358"/>
      <c r="G29" s="1358"/>
      <c r="H29" s="1357"/>
      <c r="I29" s="1359"/>
      <c r="J29" s="1357"/>
      <c r="K29" s="1360"/>
    </row>
    <row r="30" spans="1:11" ht="22.5" customHeight="1">
      <c r="A30" s="1373" t="s">
        <v>500</v>
      </c>
      <c r="B30" s="1334"/>
      <c r="C30" s="1344"/>
      <c r="D30" s="1357"/>
      <c r="E30" s="1358"/>
      <c r="F30" s="1358"/>
      <c r="G30" s="1358"/>
      <c r="H30" s="1357"/>
      <c r="I30" s="1359"/>
      <c r="J30" s="1357"/>
      <c r="K30" s="1360"/>
    </row>
    <row r="31" spans="1:11" ht="18" customHeight="1">
      <c r="A31" s="1374" t="s">
        <v>499</v>
      </c>
      <c r="B31" s="1375" t="s">
        <v>498</v>
      </c>
      <c r="C31" s="1376" t="s">
        <v>399</v>
      </c>
      <c r="D31" s="1377"/>
      <c r="E31" s="1378"/>
      <c r="F31" s="1379"/>
      <c r="G31" s="1379"/>
      <c r="H31" s="1380"/>
      <c r="I31" s="1379"/>
      <c r="J31" s="1380"/>
      <c r="K31" s="1381"/>
    </row>
    <row r="32" spans="1:11" ht="18" customHeight="1">
      <c r="A32" s="1374" t="s">
        <v>497</v>
      </c>
      <c r="B32" s="1382" t="s">
        <v>496</v>
      </c>
      <c r="C32" s="1376" t="s">
        <v>399</v>
      </c>
      <c r="D32" s="1377"/>
      <c r="E32" s="1378"/>
      <c r="F32" s="1379"/>
      <c r="G32" s="1379"/>
      <c r="H32" s="1380"/>
      <c r="I32" s="1379"/>
      <c r="J32" s="1380"/>
      <c r="K32" s="1381"/>
    </row>
    <row r="33" spans="1:11" ht="18" customHeight="1">
      <c r="A33" s="1383" t="s">
        <v>495</v>
      </c>
      <c r="B33" s="1375" t="s">
        <v>494</v>
      </c>
      <c r="C33" s="1376" t="s">
        <v>399</v>
      </c>
      <c r="D33" s="1377"/>
      <c r="E33" s="1378"/>
      <c r="F33" s="1379"/>
      <c r="G33" s="1379"/>
      <c r="H33" s="1380"/>
      <c r="I33" s="1379"/>
      <c r="J33" s="1380"/>
      <c r="K33" s="1381"/>
    </row>
    <row r="34" spans="1:11" ht="18" customHeight="1">
      <c r="A34" s="1383" t="s">
        <v>493</v>
      </c>
      <c r="B34" s="1382" t="s">
        <v>492</v>
      </c>
      <c r="C34" s="1376" t="s">
        <v>399</v>
      </c>
      <c r="D34" s="1384">
        <f>'T7'!$E$27</f>
        <v>0</v>
      </c>
      <c r="E34" s="1385">
        <f>'T7'!$F$27</f>
        <v>0</v>
      </c>
      <c r="F34" s="1386">
        <f>'T7'!$G$27</f>
        <v>0</v>
      </c>
      <c r="G34" s="1386">
        <f>'T7'!$H$27</f>
        <v>0</v>
      </c>
      <c r="H34" s="1387">
        <f>'T7'!$I$27</f>
        <v>0</v>
      </c>
      <c r="I34" s="1386">
        <f>'T7'!$J$27</f>
        <v>0</v>
      </c>
      <c r="J34" s="1380"/>
      <c r="K34" s="1381"/>
    </row>
    <row r="35" spans="1:11" ht="18" customHeight="1">
      <c r="A35" s="1383" t="s">
        <v>491</v>
      </c>
      <c r="B35" s="1382" t="s">
        <v>490</v>
      </c>
      <c r="C35" s="1376" t="s">
        <v>399</v>
      </c>
      <c r="D35" s="1377"/>
      <c r="E35" s="1378"/>
      <c r="F35" s="1379"/>
      <c r="G35" s="1379"/>
      <c r="H35" s="1380"/>
      <c r="I35" s="1379"/>
      <c r="J35" s="1380"/>
      <c r="K35" s="1381"/>
    </row>
    <row r="36" spans="1:11" s="1390" customFormat="1" ht="31.5" customHeight="1">
      <c r="A36" s="1388" t="s">
        <v>489</v>
      </c>
      <c r="B36" s="1389" t="s">
        <v>488</v>
      </c>
      <c r="C36" s="1376" t="s">
        <v>399</v>
      </c>
      <c r="D36" s="1384">
        <f>'T7'!$E$28</f>
        <v>0</v>
      </c>
      <c r="E36" s="1385">
        <f>'T7'!$F$28</f>
        <v>0</v>
      </c>
      <c r="F36" s="1386">
        <f>'T7'!$G$28</f>
        <v>0</v>
      </c>
      <c r="G36" s="1386">
        <f>'T7'!$H$28</f>
        <v>0</v>
      </c>
      <c r="H36" s="1387">
        <f>'T7'!$I$28</f>
        <v>0</v>
      </c>
      <c r="I36" s="1386">
        <f>'T7'!$J$28</f>
        <v>0</v>
      </c>
      <c r="J36" s="1380"/>
      <c r="K36" s="1381"/>
    </row>
    <row r="37" spans="1:11" ht="16" thickBot="1">
      <c r="A37" s="1391"/>
      <c r="B37" s="1311"/>
      <c r="C37" s="1392"/>
      <c r="D37" s="1393"/>
      <c r="E37" s="1394"/>
      <c r="F37" s="1394"/>
      <c r="G37" s="1394"/>
      <c r="H37" s="1393"/>
      <c r="I37" s="1395"/>
      <c r="J37" s="1393"/>
      <c r="K37" s="1396"/>
    </row>
    <row r="39" spans="1:11">
      <c r="A39" s="530"/>
      <c r="B39" s="530"/>
      <c r="C39" s="530"/>
      <c r="D39" s="530"/>
      <c r="E39" s="530"/>
      <c r="F39" s="530"/>
      <c r="G39" s="530"/>
      <c r="H39" s="530"/>
      <c r="I39" s="530"/>
      <c r="J39" s="530"/>
      <c r="K39" s="530"/>
    </row>
    <row r="40" spans="1:11">
      <c r="A40" s="530"/>
      <c r="B40" s="530"/>
      <c r="C40" s="530"/>
      <c r="D40" s="530"/>
      <c r="E40" s="530"/>
      <c r="F40" s="530"/>
      <c r="G40" s="530"/>
      <c r="H40" s="530"/>
      <c r="I40" s="530"/>
      <c r="J40" s="530"/>
      <c r="K40" s="530"/>
    </row>
    <row r="41" spans="1:11">
      <c r="A41" s="530"/>
      <c r="B41" s="530"/>
      <c r="C41" s="530"/>
      <c r="D41" s="530"/>
      <c r="E41" s="530"/>
      <c r="F41" s="530"/>
      <c r="G41" s="530"/>
      <c r="H41" s="530"/>
      <c r="I41" s="530"/>
      <c r="J41" s="530"/>
      <c r="K41" s="530"/>
    </row>
    <row r="42" spans="1:11">
      <c r="A42" s="530"/>
      <c r="B42" s="530"/>
      <c r="C42" s="530"/>
      <c r="D42" s="530"/>
      <c r="E42" s="530"/>
      <c r="F42" s="530"/>
      <c r="G42" s="530"/>
      <c r="H42" s="530"/>
      <c r="I42" s="530"/>
      <c r="J42" s="530"/>
      <c r="K42" s="530"/>
    </row>
    <row r="43" spans="1:11">
      <c r="A43" s="530"/>
      <c r="B43" s="530"/>
      <c r="C43" s="530"/>
      <c r="D43" s="530"/>
      <c r="E43" s="530"/>
      <c r="F43" s="530"/>
      <c r="G43" s="530"/>
      <c r="H43" s="530"/>
      <c r="I43" s="530"/>
      <c r="J43" s="530"/>
      <c r="K43" s="530"/>
    </row>
    <row r="44" spans="1:11">
      <c r="A44" s="530"/>
      <c r="B44" s="530"/>
      <c r="C44" s="530"/>
      <c r="D44" s="530"/>
      <c r="E44" s="530"/>
      <c r="F44" s="530"/>
      <c r="G44" s="530"/>
      <c r="H44" s="530"/>
      <c r="I44" s="530"/>
      <c r="J44" s="530"/>
      <c r="K44" s="530"/>
    </row>
    <row r="45" spans="1:11">
      <c r="A45" s="530"/>
      <c r="B45" s="530"/>
      <c r="C45" s="530"/>
      <c r="D45" s="530"/>
      <c r="E45" s="530"/>
      <c r="F45" s="530"/>
      <c r="G45" s="530"/>
      <c r="H45" s="530"/>
      <c r="I45" s="530"/>
      <c r="J45" s="530"/>
      <c r="K45" s="530"/>
    </row>
    <row r="46" spans="1:11">
      <c r="A46" s="530"/>
      <c r="B46" s="530"/>
      <c r="C46" s="530"/>
      <c r="D46" s="530"/>
      <c r="E46" s="530"/>
      <c r="F46" s="530"/>
      <c r="G46" s="530"/>
      <c r="H46" s="530"/>
      <c r="I46" s="530"/>
      <c r="J46" s="530"/>
      <c r="K46" s="530"/>
    </row>
    <row r="47" spans="1:11">
      <c r="A47" s="530"/>
      <c r="B47" s="530"/>
      <c r="C47" s="530"/>
      <c r="D47" s="530"/>
      <c r="E47" s="530"/>
      <c r="F47" s="530"/>
      <c r="G47" s="530"/>
      <c r="H47" s="530"/>
      <c r="I47" s="530"/>
      <c r="J47" s="530"/>
      <c r="K47" s="530"/>
    </row>
    <row r="48" spans="1:11">
      <c r="A48" s="530"/>
      <c r="B48" s="530"/>
      <c r="C48" s="530"/>
      <c r="D48" s="530"/>
      <c r="E48" s="530"/>
      <c r="F48" s="530"/>
      <c r="G48" s="530"/>
      <c r="H48" s="530"/>
      <c r="I48" s="530"/>
      <c r="J48" s="530"/>
      <c r="K48" s="530"/>
    </row>
    <row r="49" spans="1:11">
      <c r="A49" s="530"/>
      <c r="B49" s="530"/>
      <c r="C49" s="530"/>
      <c r="D49" s="530"/>
      <c r="E49" s="530"/>
      <c r="F49" s="530"/>
      <c r="G49" s="530"/>
      <c r="H49" s="530"/>
      <c r="I49" s="530"/>
      <c r="J49" s="530"/>
      <c r="K49" s="530"/>
    </row>
    <row r="50" spans="1:11">
      <c r="A50" s="530"/>
      <c r="B50" s="530"/>
      <c r="C50" s="530"/>
      <c r="D50" s="530"/>
      <c r="E50" s="530"/>
      <c r="F50" s="530"/>
      <c r="G50" s="530"/>
      <c r="H50" s="530"/>
      <c r="I50" s="530"/>
      <c r="J50" s="530"/>
      <c r="K50" s="530"/>
    </row>
    <row r="51" spans="1:11">
      <c r="A51" s="530"/>
      <c r="B51" s="530"/>
      <c r="C51" s="530"/>
      <c r="D51" s="530"/>
      <c r="E51" s="530"/>
      <c r="F51" s="530"/>
      <c r="G51" s="530"/>
      <c r="H51" s="530"/>
      <c r="I51" s="530"/>
      <c r="J51" s="530"/>
      <c r="K51" s="530"/>
    </row>
    <row r="52" spans="1:11">
      <c r="A52" s="530"/>
      <c r="B52" s="530"/>
      <c r="C52" s="530"/>
      <c r="D52" s="530"/>
      <c r="E52" s="530"/>
      <c r="F52" s="530"/>
      <c r="G52" s="530"/>
      <c r="H52" s="530"/>
      <c r="I52" s="530"/>
      <c r="J52" s="530"/>
      <c r="K52" s="530"/>
    </row>
    <row r="53" spans="1:11">
      <c r="A53" s="530"/>
      <c r="B53" s="530"/>
      <c r="C53" s="530"/>
      <c r="D53" s="530"/>
      <c r="E53" s="530"/>
      <c r="F53" s="530"/>
      <c r="G53" s="530"/>
      <c r="H53" s="530"/>
      <c r="I53" s="530"/>
      <c r="J53" s="530"/>
      <c r="K53" s="530"/>
    </row>
    <row r="54" spans="1:11">
      <c r="A54" s="530"/>
      <c r="B54" s="530"/>
      <c r="C54" s="530"/>
      <c r="D54" s="530"/>
      <c r="E54" s="530"/>
      <c r="F54" s="530"/>
      <c r="G54" s="530"/>
      <c r="H54" s="530"/>
      <c r="I54" s="530"/>
      <c r="J54" s="530"/>
      <c r="K54" s="530"/>
    </row>
    <row r="55" spans="1:11">
      <c r="A55" s="530"/>
      <c r="B55" s="530"/>
      <c r="C55" s="530"/>
      <c r="D55" s="530"/>
      <c r="E55" s="530"/>
      <c r="F55" s="530"/>
      <c r="G55" s="530"/>
      <c r="H55" s="530"/>
      <c r="I55" s="530"/>
      <c r="J55" s="530"/>
      <c r="K55" s="530"/>
    </row>
    <row r="56" spans="1:11">
      <c r="A56" s="530"/>
      <c r="B56" s="530"/>
      <c r="C56" s="530"/>
      <c r="D56" s="530"/>
      <c r="E56" s="530"/>
      <c r="F56" s="530"/>
      <c r="G56" s="530"/>
      <c r="H56" s="530"/>
      <c r="I56" s="530"/>
      <c r="J56" s="530"/>
      <c r="K56" s="530"/>
    </row>
    <row r="57" spans="1:11">
      <c r="A57" s="530"/>
      <c r="B57" s="530"/>
      <c r="C57" s="530"/>
      <c r="D57" s="530"/>
      <c r="E57" s="530"/>
      <c r="F57" s="530"/>
      <c r="G57" s="530"/>
      <c r="H57" s="530"/>
      <c r="I57" s="530"/>
      <c r="J57" s="530"/>
      <c r="K57" s="530"/>
    </row>
    <row r="58" spans="1:11">
      <c r="A58" s="530"/>
      <c r="B58" s="530"/>
      <c r="C58" s="530"/>
      <c r="D58" s="530"/>
      <c r="E58" s="530"/>
      <c r="F58" s="530"/>
      <c r="G58" s="530"/>
      <c r="H58" s="530"/>
      <c r="I58" s="530"/>
      <c r="J58" s="530"/>
      <c r="K58" s="530"/>
    </row>
  </sheetData>
  <sheetProtection algorithmName="SHA-512" hashValue="CemETp2KjsnluFh9YbWiY2weZl3GakbRrEPyXZaUwJ4QMUqd6rzqQ0APj4KKU/mscrs264KJXgazWehyqVoGYQ==" saltValue="352rD6xCNAKZkHWDISSCiA==" spinCount="100000" sheet="1" objects="1" scenarios="1"/>
  <mergeCells count="17">
    <mergeCell ref="A1:K1"/>
    <mergeCell ref="A4:C8"/>
    <mergeCell ref="D4:G5"/>
    <mergeCell ref="H4:I5"/>
    <mergeCell ref="J4:K5"/>
    <mergeCell ref="D7:G7"/>
    <mergeCell ref="H7:I7"/>
    <mergeCell ref="J7:K8"/>
    <mergeCell ref="D22:G22"/>
    <mergeCell ref="H22:I22"/>
    <mergeCell ref="J22:K22"/>
    <mergeCell ref="D20:G20"/>
    <mergeCell ref="H20:I20"/>
    <mergeCell ref="J20:K20"/>
    <mergeCell ref="D21:G21"/>
    <mergeCell ref="H21:I21"/>
    <mergeCell ref="J21:K21"/>
  </mergeCells>
  <pageMargins left="0.19685039370078741" right="0.19685039370078741" top="0.39370078740157483" bottom="0.39370078740157483" header="0.51181102362204722" footer="0.19685039370078741"/>
  <pageSetup paperSize="9" scale="5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B92A-C31D-4729-9BD5-BF36A1B6ED33}">
  <sheetPr>
    <pageSetUpPr fitToPage="1"/>
  </sheetPr>
  <dimension ref="A1:I33"/>
  <sheetViews>
    <sheetView zoomScaleNormal="100" workbookViewId="0">
      <selection activeCell="A2" sqref="A2"/>
    </sheetView>
  </sheetViews>
  <sheetFormatPr defaultColWidth="9.1796875" defaultRowHeight="12.5"/>
  <cols>
    <col min="1" max="1" width="8.54296875" style="1309" customWidth="1"/>
    <col min="2" max="2" width="75.1796875" style="1309" customWidth="1"/>
    <col min="3" max="3" width="27" style="1309" bestFit="1" customWidth="1"/>
    <col min="4" max="9" width="20.7265625" style="1309" customWidth="1"/>
    <col min="10" max="16384" width="9.1796875" style="1309"/>
  </cols>
  <sheetData>
    <row r="1" spans="1:9" ht="20.5" thickBot="1">
      <c r="A1" s="1655" t="str">
        <f>DNB&amp;" - AARDGAS - Tarieflijst periodieke distributienettarieven "&amp;JAAR&amp;" - Injectie"</f>
        <v>Naam distributienetbeheerder - AARDGAS - Tarieflijst periodieke distributienettarieven 2022 - Injectie</v>
      </c>
      <c r="B1" s="1656"/>
      <c r="C1" s="1656"/>
      <c r="D1" s="1656"/>
      <c r="E1" s="1656"/>
      <c r="F1" s="1656"/>
      <c r="G1" s="1656"/>
      <c r="H1" s="1656"/>
      <c r="I1" s="1657"/>
    </row>
    <row r="2" spans="1:9">
      <c r="A2" s="1397"/>
    </row>
    <row r="3" spans="1:9" ht="15" customHeight="1" thickBot="1">
      <c r="A3" s="1397"/>
    </row>
    <row r="4" spans="1:9" ht="15" customHeight="1">
      <c r="A4" s="1658"/>
      <c r="B4" s="1659"/>
      <c r="C4" s="1660"/>
      <c r="D4" s="1675" t="s">
        <v>525</v>
      </c>
    </row>
    <row r="5" spans="1:9" ht="21" customHeight="1" thickBot="1">
      <c r="A5" s="1672"/>
      <c r="B5" s="1673"/>
      <c r="C5" s="1674"/>
      <c r="D5" s="1676"/>
    </row>
    <row r="6" spans="1:9" ht="18.75" customHeight="1">
      <c r="A6" s="1333" t="s">
        <v>511</v>
      </c>
      <c r="B6" s="1334"/>
      <c r="C6" s="1335"/>
      <c r="D6" s="1398"/>
    </row>
    <row r="7" spans="1:9" s="1361" customFormat="1" ht="18" customHeight="1">
      <c r="A7" s="1342"/>
      <c r="B7" s="1334"/>
      <c r="C7" s="1335"/>
      <c r="D7" s="1399"/>
      <c r="E7" s="1309"/>
      <c r="F7" s="1309"/>
      <c r="G7" s="1309"/>
      <c r="H7" s="1309"/>
      <c r="I7" s="1309"/>
    </row>
    <row r="8" spans="1:9" ht="19.5" customHeight="1">
      <c r="A8" s="1339" t="s">
        <v>497</v>
      </c>
      <c r="B8" s="1340" t="s">
        <v>505</v>
      </c>
      <c r="C8" s="1344" t="s">
        <v>399</v>
      </c>
      <c r="D8" s="1400">
        <f>'T7'!$M$17</f>
        <v>0</v>
      </c>
    </row>
    <row r="9" spans="1:9" ht="14.25" customHeight="1">
      <c r="A9" s="1342"/>
      <c r="B9" s="1334"/>
      <c r="C9" s="1367"/>
      <c r="D9" s="1360"/>
    </row>
    <row r="10" spans="1:9" ht="18" customHeight="1">
      <c r="A10" s="1339" t="s">
        <v>495</v>
      </c>
      <c r="B10" s="1368" t="s">
        <v>365</v>
      </c>
      <c r="C10" s="1367"/>
      <c r="D10" s="1360"/>
    </row>
    <row r="11" spans="1:9" ht="18" customHeight="1">
      <c r="A11" s="1342"/>
      <c r="B11" s="1343" t="s">
        <v>7</v>
      </c>
      <c r="C11" s="1344" t="s">
        <v>447</v>
      </c>
      <c r="D11" s="1401">
        <f>'T7'!$M$19</f>
        <v>0</v>
      </c>
    </row>
    <row r="12" spans="1:9" ht="16" thickBot="1">
      <c r="A12" s="1391"/>
      <c r="B12" s="1311"/>
      <c r="C12" s="1392"/>
      <c r="D12" s="1402"/>
    </row>
    <row r="14" spans="1:9">
      <c r="A14" s="530"/>
      <c r="B14" s="530"/>
      <c r="C14" s="530"/>
      <c r="D14" s="530"/>
    </row>
    <row r="15" spans="1:9">
      <c r="A15" s="530"/>
      <c r="B15" s="530"/>
      <c r="C15" s="530"/>
      <c r="D15" s="530"/>
    </row>
    <row r="16" spans="1:9">
      <c r="A16" s="530"/>
      <c r="B16" s="530"/>
      <c r="C16" s="530"/>
      <c r="D16" s="530"/>
    </row>
    <row r="17" spans="1:4">
      <c r="A17" s="530"/>
      <c r="B17" s="530"/>
      <c r="C17" s="530"/>
      <c r="D17" s="530"/>
    </row>
    <row r="18" spans="1:4">
      <c r="A18" s="530"/>
      <c r="B18" s="530"/>
      <c r="C18" s="530"/>
      <c r="D18" s="530"/>
    </row>
    <row r="19" spans="1:4">
      <c r="A19" s="530"/>
      <c r="B19" s="530"/>
      <c r="C19" s="530"/>
      <c r="D19" s="530"/>
    </row>
    <row r="20" spans="1:4">
      <c r="A20" s="530"/>
      <c r="B20" s="530"/>
      <c r="C20" s="530"/>
      <c r="D20" s="530"/>
    </row>
    <row r="21" spans="1:4">
      <c r="A21" s="530"/>
      <c r="B21" s="530"/>
      <c r="C21" s="530"/>
      <c r="D21" s="530"/>
    </row>
    <row r="22" spans="1:4">
      <c r="A22" s="530"/>
      <c r="B22" s="530"/>
      <c r="C22" s="530"/>
      <c r="D22" s="530"/>
    </row>
    <row r="23" spans="1:4">
      <c r="A23" s="530"/>
      <c r="B23" s="530"/>
      <c r="C23" s="530"/>
      <c r="D23" s="530"/>
    </row>
    <row r="24" spans="1:4">
      <c r="A24" s="530"/>
      <c r="B24" s="530"/>
      <c r="C24" s="530"/>
      <c r="D24" s="530"/>
    </row>
    <row r="25" spans="1:4">
      <c r="A25" s="530"/>
      <c r="B25" s="530"/>
      <c r="C25" s="530"/>
      <c r="D25" s="530"/>
    </row>
    <row r="26" spans="1:4">
      <c r="A26" s="530"/>
      <c r="B26" s="530"/>
      <c r="C26" s="530"/>
      <c r="D26" s="530"/>
    </row>
    <row r="27" spans="1:4">
      <c r="A27" s="530"/>
      <c r="B27" s="530"/>
      <c r="C27" s="530"/>
      <c r="D27" s="530"/>
    </row>
    <row r="28" spans="1:4">
      <c r="A28" s="530"/>
      <c r="B28" s="530"/>
      <c r="C28" s="530"/>
      <c r="D28" s="530"/>
    </row>
    <row r="29" spans="1:4">
      <c r="A29" s="530"/>
      <c r="B29" s="530"/>
      <c r="C29" s="530"/>
      <c r="D29" s="530"/>
    </row>
    <row r="30" spans="1:4">
      <c r="A30" s="530"/>
      <c r="B30" s="530"/>
      <c r="C30" s="530"/>
      <c r="D30" s="530"/>
    </row>
    <row r="31" spans="1:4">
      <c r="A31" s="530"/>
      <c r="B31" s="530"/>
      <c r="C31" s="530"/>
      <c r="D31" s="530"/>
    </row>
    <row r="32" spans="1:4">
      <c r="A32" s="530"/>
      <c r="B32" s="530"/>
      <c r="C32" s="530"/>
      <c r="D32" s="530"/>
    </row>
    <row r="33" spans="1:4">
      <c r="A33" s="530"/>
      <c r="B33" s="530"/>
      <c r="C33" s="530"/>
      <c r="D33" s="530"/>
    </row>
  </sheetData>
  <sheetProtection algorithmName="SHA-512" hashValue="KqVn0jK/qDwd9wYLJMShemAeNHcAJNhEqRE8Pjfu0IAjtVCC7VXnFlzVnszSOluxuIXXQKS9FK/Kpln9R+83Vg==" saltValue="Hlzj0rACBBlSGttS7pBXKA==" spinCount="100000" sheet="1" objects="1" scenarios="1"/>
  <mergeCells count="3">
    <mergeCell ref="A1:I1"/>
    <mergeCell ref="A4:C5"/>
    <mergeCell ref="D4:D5"/>
  </mergeCells>
  <pageMargins left="0.19685039370078741" right="0.19685039370078741" top="0.39370078740157483" bottom="0.39370078740157483" header="0.51181102362204722" footer="0.19685039370078741"/>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5517-10A1-4C9D-A17B-2047C2115728}">
  <sheetPr published="0"/>
  <dimension ref="A1"/>
  <sheetViews>
    <sheetView workbookViewId="0"/>
  </sheetViews>
  <sheetFormatPr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16"/>
  <dimension ref="A1:Z54"/>
  <sheetViews>
    <sheetView zoomScaleNormal="100" workbookViewId="0">
      <selection activeCell="D4" sqref="D4:F4"/>
    </sheetView>
  </sheetViews>
  <sheetFormatPr defaultColWidth="10.7265625" defaultRowHeight="15" customHeight="1"/>
  <cols>
    <col min="1" max="1" width="30.7265625" style="591" customWidth="1"/>
    <col min="2" max="25" width="20.7265625" style="591" customWidth="1"/>
    <col min="26" max="26" width="10.7265625" style="591" customWidth="1"/>
    <col min="27" max="27" width="100.7265625" style="591" customWidth="1"/>
    <col min="28" max="16384" width="10.7265625" style="591"/>
  </cols>
  <sheetData>
    <row r="1" spans="1:26" ht="30" customHeight="1" thickBot="1">
      <c r="A1" s="1425" t="s">
        <v>172</v>
      </c>
      <c r="B1" s="1426"/>
      <c r="C1" s="1426"/>
      <c r="D1" s="1426"/>
      <c r="E1" s="1426"/>
      <c r="F1" s="1426"/>
      <c r="G1" s="1426"/>
      <c r="H1" s="1426"/>
      <c r="I1" s="1426"/>
      <c r="J1" s="1426"/>
      <c r="K1" s="1426"/>
      <c r="L1" s="1426"/>
      <c r="M1" s="1426"/>
      <c r="N1" s="1426"/>
      <c r="O1" s="253"/>
      <c r="P1" s="300"/>
    </row>
    <row r="2" spans="1:26" ht="15" customHeight="1">
      <c r="A2" s="52"/>
      <c r="B2" s="52"/>
      <c r="C2" s="52"/>
      <c r="D2" s="52"/>
      <c r="E2" s="52"/>
      <c r="F2" s="63"/>
      <c r="G2" s="63"/>
    </row>
    <row r="3" spans="1:26" ht="15" customHeight="1" thickBot="1">
      <c r="A3" s="54"/>
      <c r="B3" s="54"/>
      <c r="C3" s="54"/>
      <c r="D3" s="54"/>
      <c r="E3" s="55"/>
      <c r="F3" s="64"/>
      <c r="G3" s="64"/>
    </row>
    <row r="4" spans="1:26" ht="15" customHeight="1" thickBot="1">
      <c r="A4" s="56"/>
      <c r="B4" s="129" t="s">
        <v>6</v>
      </c>
      <c r="C4" s="58"/>
      <c r="D4" s="1420" t="str">
        <f>DNB</f>
        <v>Naam distributienetbeheerder</v>
      </c>
      <c r="E4" s="1421"/>
      <c r="F4" s="1422"/>
    </row>
    <row r="5" spans="1:26" ht="15" customHeight="1">
      <c r="A5" s="60"/>
      <c r="B5" s="60"/>
      <c r="C5" s="60"/>
      <c r="D5" s="60"/>
      <c r="E5" s="60"/>
    </row>
    <row r="6" spans="1:26" ht="15" customHeight="1" thickBot="1">
      <c r="A6" s="60"/>
      <c r="B6" s="60"/>
      <c r="C6" s="60"/>
      <c r="D6" s="60"/>
      <c r="E6" s="60"/>
    </row>
    <row r="7" spans="1:26" ht="15" customHeight="1">
      <c r="A7" s="281"/>
      <c r="B7" s="282"/>
      <c r="C7" s="1427" t="s">
        <v>237</v>
      </c>
      <c r="D7" s="1430"/>
      <c r="E7" s="1427" t="s">
        <v>173</v>
      </c>
      <c r="F7" s="1430"/>
      <c r="G7" s="1427" t="s">
        <v>106</v>
      </c>
      <c r="H7" s="1429"/>
      <c r="Y7" s="1"/>
    </row>
    <row r="8" spans="1:26" ht="15" customHeight="1" thickBot="1">
      <c r="A8" s="188" t="s">
        <v>100</v>
      </c>
      <c r="B8" s="87" t="s">
        <v>17</v>
      </c>
      <c r="C8" s="85" t="s">
        <v>231</v>
      </c>
      <c r="D8" s="87" t="s">
        <v>232</v>
      </c>
      <c r="E8" s="85" t="s">
        <v>233</v>
      </c>
      <c r="F8" s="87" t="s">
        <v>234</v>
      </c>
      <c r="G8" s="85" t="s">
        <v>235</v>
      </c>
      <c r="H8" s="189" t="s">
        <v>236</v>
      </c>
      <c r="Z8" s="1"/>
    </row>
    <row r="9" spans="1:26" ht="15" customHeight="1">
      <c r="A9" s="288" t="s">
        <v>238</v>
      </c>
      <c r="B9" s="289" t="s">
        <v>16</v>
      </c>
      <c r="C9" s="226" t="s">
        <v>108</v>
      </c>
      <c r="D9" s="190" t="s">
        <v>108</v>
      </c>
      <c r="E9" s="647"/>
      <c r="F9" s="648"/>
      <c r="G9" s="247" t="str">
        <f>IF(ISNUMBER($E9),$E9/SUM($E9:$F9),"")</f>
        <v/>
      </c>
      <c r="H9" s="283" t="str">
        <f>IF(ISNUMBER($F9),$F9/SUM($E9:$F9),"")</f>
        <v/>
      </c>
      <c r="J9" s="229"/>
    </row>
    <row r="10" spans="1:26" ht="15" customHeight="1">
      <c r="A10" s="286" t="s">
        <v>14</v>
      </c>
      <c r="B10" s="84" t="s">
        <v>14</v>
      </c>
      <c r="C10" s="227" t="s">
        <v>108</v>
      </c>
      <c r="D10" s="84" t="s">
        <v>108</v>
      </c>
      <c r="E10" s="235">
        <f>REKENVOLUMES!$D$28-(1-FACTOR_DOORVOER)*(REKENVOLUMES!$K$28+REKENVOLUMES!$P$28+REKENVOLUMES!$R$28)</f>
        <v>0</v>
      </c>
      <c r="F10" s="128">
        <f>INDEX(Rekenvolumes[Injectieklanten (∑)],15)</f>
        <v>0</v>
      </c>
      <c r="G10" s="248" t="e">
        <f>IF(ISNUMBER($E10),$E10/SUM($E10:$F10),"")</f>
        <v>#DIV/0!</v>
      </c>
      <c r="H10" s="284" t="e">
        <f>IF(ISNUMBER($F10),$F10/SUM($E10:$F10),"")</f>
        <v>#DIV/0!</v>
      </c>
    </row>
    <row r="11" spans="1:26" ht="15" customHeight="1">
      <c r="A11" s="287" t="s">
        <v>239</v>
      </c>
      <c r="B11" s="225"/>
      <c r="C11" s="224" t="s">
        <v>108</v>
      </c>
      <c r="D11" s="225"/>
      <c r="E11" s="291">
        <v>1</v>
      </c>
      <c r="F11" s="292">
        <v>0</v>
      </c>
      <c r="G11" s="249">
        <f>IF(ISNUMBER($E11),$E11/SUM($E11:$F11),"")</f>
        <v>1</v>
      </c>
      <c r="H11" s="285">
        <f>IF(ISNUMBER($F11),$F11/SUM($E11:$F11),"")</f>
        <v>0</v>
      </c>
    </row>
    <row r="12" spans="1:26" ht="15" customHeight="1">
      <c r="A12" s="287" t="s">
        <v>84</v>
      </c>
      <c r="B12" s="635"/>
      <c r="C12" s="224" t="s">
        <v>108</v>
      </c>
      <c r="D12" s="225" t="s">
        <v>108</v>
      </c>
      <c r="E12" s="639"/>
      <c r="F12" s="640"/>
      <c r="G12" s="249" t="str">
        <f>IF(ISNUMBER($E12),$E12/SUM($E12:$F12),"")</f>
        <v/>
      </c>
      <c r="H12" s="285" t="str">
        <f>IF(ISNUMBER($F12),$F12/SUM($E12:$F12),"")</f>
        <v/>
      </c>
    </row>
    <row r="13" spans="1:26" ht="15" customHeight="1">
      <c r="A13" s="636"/>
      <c r="B13" s="637"/>
      <c r="C13" s="638"/>
      <c r="D13" s="635"/>
      <c r="E13" s="639"/>
      <c r="F13" s="640"/>
      <c r="G13" s="667" t="str">
        <f t="shared" ref="G13:G15" si="0">IF(ISNUMBER($E13),$E13/SUM($E13:$F13),"")</f>
        <v/>
      </c>
      <c r="H13" s="668" t="str">
        <f t="shared" ref="H13:H15" si="1">IF(ISNUMBER($F13),$F13/SUM($E13:$F13),"")</f>
        <v/>
      </c>
    </row>
    <row r="14" spans="1:26" ht="15" customHeight="1">
      <c r="A14" s="636"/>
      <c r="B14" s="637"/>
      <c r="C14" s="638"/>
      <c r="D14" s="635"/>
      <c r="E14" s="639"/>
      <c r="F14" s="640"/>
      <c r="G14" s="667" t="str">
        <f t="shared" si="0"/>
        <v/>
      </c>
      <c r="H14" s="668" t="str">
        <f t="shared" si="1"/>
        <v/>
      </c>
    </row>
    <row r="15" spans="1:26" ht="15" customHeight="1" thickBot="1">
      <c r="A15" s="641"/>
      <c r="B15" s="642"/>
      <c r="C15" s="643"/>
      <c r="D15" s="644"/>
      <c r="E15" s="645"/>
      <c r="F15" s="646"/>
      <c r="G15" s="669" t="str">
        <f t="shared" si="0"/>
        <v/>
      </c>
      <c r="H15" s="670" t="str">
        <f t="shared" si="1"/>
        <v/>
      </c>
    </row>
    <row r="17" spans="1:14" ht="15" customHeight="1">
      <c r="C17" s="1"/>
      <c r="D17" s="1"/>
      <c r="E17" s="1"/>
      <c r="F17" s="1"/>
      <c r="G17" s="1"/>
      <c r="H17" s="1"/>
      <c r="J17" s="229"/>
      <c r="N17" s="229"/>
    </row>
    <row r="18" spans="1:14" ht="15" customHeight="1" thickBot="1"/>
    <row r="19" spans="1:14" ht="15" customHeight="1">
      <c r="A19" s="281"/>
      <c r="B19" s="282"/>
      <c r="C19" s="1427" t="s">
        <v>252</v>
      </c>
      <c r="D19" s="1428"/>
      <c r="E19" s="1428"/>
      <c r="F19" s="1430"/>
      <c r="G19" s="1427" t="s">
        <v>173</v>
      </c>
      <c r="H19" s="1428"/>
      <c r="I19" s="1428"/>
      <c r="J19" s="1430"/>
      <c r="K19" s="1427" t="s">
        <v>106</v>
      </c>
      <c r="L19" s="1428"/>
      <c r="M19" s="1428"/>
      <c r="N19" s="1429"/>
    </row>
    <row r="20" spans="1:14" ht="15" customHeight="1" thickBot="1">
      <c r="A20" s="188" t="s">
        <v>100</v>
      </c>
      <c r="B20" s="87" t="s">
        <v>17</v>
      </c>
      <c r="C20" s="85" t="s">
        <v>240</v>
      </c>
      <c r="D20" s="86" t="s">
        <v>241</v>
      </c>
      <c r="E20" s="86" t="s">
        <v>242</v>
      </c>
      <c r="F20" s="87" t="s">
        <v>243</v>
      </c>
      <c r="G20" s="85" t="s">
        <v>244</v>
      </c>
      <c r="H20" s="86" t="s">
        <v>245</v>
      </c>
      <c r="I20" s="86" t="s">
        <v>246</v>
      </c>
      <c r="J20" s="87" t="s">
        <v>247</v>
      </c>
      <c r="K20" s="85" t="s">
        <v>248</v>
      </c>
      <c r="L20" s="86" t="s">
        <v>249</v>
      </c>
      <c r="M20" s="86" t="s">
        <v>250</v>
      </c>
      <c r="N20" s="189" t="s">
        <v>251</v>
      </c>
    </row>
    <row r="21" spans="1:14" ht="15" customHeight="1">
      <c r="A21" s="290" t="s">
        <v>314</v>
      </c>
      <c r="B21" s="190" t="s">
        <v>12</v>
      </c>
      <c r="C21" s="226" t="s">
        <v>108</v>
      </c>
      <c r="D21" s="246" t="s">
        <v>108</v>
      </c>
      <c r="E21" s="246" t="s">
        <v>108</v>
      </c>
      <c r="F21" s="190" t="s">
        <v>108</v>
      </c>
      <c r="G21" s="647"/>
      <c r="H21" s="649"/>
      <c r="I21" s="649"/>
      <c r="J21" s="648"/>
      <c r="K21" s="247" t="str">
        <f>IF(ISNUMBER($G21),$G21/SUM($G21:$J21),"")</f>
        <v/>
      </c>
      <c r="L21" s="250" t="str">
        <f>IF(ISNUMBER($H21),$H21/SUM($G21:$J21),"")</f>
        <v/>
      </c>
      <c r="M21" s="250" t="str">
        <f>IF(ISNUMBER($I21),$I21/SUM($G21:$J21),"")</f>
        <v/>
      </c>
      <c r="N21" s="283" t="str">
        <f>IF(ISNUMBER($J21),$J21/SUM($G21:$J21),"")</f>
        <v/>
      </c>
    </row>
    <row r="22" spans="1:14" ht="15" customHeight="1">
      <c r="A22" s="286" t="s">
        <v>315</v>
      </c>
      <c r="B22" s="84" t="s">
        <v>12</v>
      </c>
      <c r="C22" s="227"/>
      <c r="D22" s="228" t="s">
        <v>108</v>
      </c>
      <c r="E22" s="228" t="s">
        <v>108</v>
      </c>
      <c r="F22" s="84" t="s">
        <v>108</v>
      </c>
      <c r="G22" s="650">
        <v>0</v>
      </c>
      <c r="H22" s="651"/>
      <c r="I22" s="651"/>
      <c r="J22" s="652"/>
      <c r="K22" s="248" t="e">
        <f t="shared" ref="K22:K32" si="2">IF(ISNUMBER($G22),$G22/SUM($G22:$J22),"")</f>
        <v>#DIV/0!</v>
      </c>
      <c r="L22" s="251" t="str">
        <f t="shared" ref="L22:L32" si="3">IF(ISNUMBER($H22),$H22/SUM($G22:$J22),"")</f>
        <v/>
      </c>
      <c r="M22" s="251" t="str">
        <f t="shared" ref="M22:M32" si="4">IF(ISNUMBER($I22),$I22/SUM($G22:$J22),"")</f>
        <v/>
      </c>
      <c r="N22" s="284" t="str">
        <f t="shared" ref="N22:N32" si="5">IF(ISNUMBER($J22),$J22/SUM($G22:$J22),"")</f>
        <v/>
      </c>
    </row>
    <row r="23" spans="1:14" ht="15" customHeight="1">
      <c r="A23" s="286" t="s">
        <v>316</v>
      </c>
      <c r="B23" s="84" t="s">
        <v>12</v>
      </c>
      <c r="C23" s="227"/>
      <c r="D23" s="228"/>
      <c r="E23" s="228" t="s">
        <v>108</v>
      </c>
      <c r="F23" s="84" t="s">
        <v>108</v>
      </c>
      <c r="G23" s="650">
        <v>0</v>
      </c>
      <c r="H23" s="651">
        <v>0</v>
      </c>
      <c r="I23" s="651"/>
      <c r="J23" s="652"/>
      <c r="K23" s="248" t="e">
        <f t="shared" si="2"/>
        <v>#DIV/0!</v>
      </c>
      <c r="L23" s="251" t="e">
        <f t="shared" si="3"/>
        <v>#DIV/0!</v>
      </c>
      <c r="M23" s="251" t="str">
        <f t="shared" si="4"/>
        <v/>
      </c>
      <c r="N23" s="284" t="str">
        <f t="shared" si="5"/>
        <v/>
      </c>
    </row>
    <row r="24" spans="1:14" ht="15" customHeight="1">
      <c r="A24" s="286" t="s">
        <v>317</v>
      </c>
      <c r="B24" s="84" t="s">
        <v>12</v>
      </c>
      <c r="C24" s="227"/>
      <c r="D24" s="228"/>
      <c r="E24" s="228"/>
      <c r="F24" s="84" t="s">
        <v>108</v>
      </c>
      <c r="G24" s="650">
        <v>0</v>
      </c>
      <c r="H24" s="651">
        <v>0</v>
      </c>
      <c r="I24" s="651">
        <v>0</v>
      </c>
      <c r="J24" s="652"/>
      <c r="K24" s="248" t="e">
        <f t="shared" si="2"/>
        <v>#DIV/0!</v>
      </c>
      <c r="L24" s="251" t="e">
        <f t="shared" si="3"/>
        <v>#DIV/0!</v>
      </c>
      <c r="M24" s="251" t="e">
        <f t="shared" si="4"/>
        <v>#DIV/0!</v>
      </c>
      <c r="N24" s="284" t="str">
        <f t="shared" si="5"/>
        <v/>
      </c>
    </row>
    <row r="25" spans="1:14" ht="15" customHeight="1">
      <c r="A25" s="286" t="s">
        <v>14</v>
      </c>
      <c r="B25" s="84" t="s">
        <v>14</v>
      </c>
      <c r="C25" s="227" t="s">
        <v>108</v>
      </c>
      <c r="D25" s="228" t="s">
        <v>108</v>
      </c>
      <c r="E25" s="228" t="s">
        <v>108</v>
      </c>
      <c r="F25" s="84" t="s">
        <v>108</v>
      </c>
      <c r="G25" s="235">
        <f>REKENVOLUMES!$E$28</f>
        <v>0</v>
      </c>
      <c r="H25" s="236">
        <f>REKENVOLUMES!$H$28-(1-FACTOR_DOORVOER)*REKENVOLUMES!$K$28</f>
        <v>0</v>
      </c>
      <c r="I25" s="236">
        <f>REKENVOLUMES!$L$28</f>
        <v>0</v>
      </c>
      <c r="J25" s="128">
        <f>REKENVOLUMES!$N$28-(1-FACTOR_DOORVOER)*(REKENVOLUMES!$P$28+REKENVOLUMES!$R$28)</f>
        <v>0</v>
      </c>
      <c r="K25" s="248" t="e">
        <f t="shared" si="2"/>
        <v>#DIV/0!</v>
      </c>
      <c r="L25" s="251" t="e">
        <f t="shared" si="3"/>
        <v>#DIV/0!</v>
      </c>
      <c r="M25" s="251" t="e">
        <f t="shared" si="4"/>
        <v>#DIV/0!</v>
      </c>
      <c r="N25" s="284" t="e">
        <f t="shared" si="5"/>
        <v>#DIV/0!</v>
      </c>
    </row>
    <row r="26" spans="1:14" ht="15" customHeight="1">
      <c r="A26" s="286" t="s">
        <v>158</v>
      </c>
      <c r="B26" s="84" t="s">
        <v>14</v>
      </c>
      <c r="C26" s="227"/>
      <c r="D26" s="228" t="s">
        <v>108</v>
      </c>
      <c r="E26" s="228" t="s">
        <v>108</v>
      </c>
      <c r="F26" s="84" t="s">
        <v>108</v>
      </c>
      <c r="G26" s="235">
        <v>0</v>
      </c>
      <c r="H26" s="236">
        <f>REKENVOLUMES!$H$28-(1-FACTOR_DOORVOER)*REKENVOLUMES!$K$28</f>
        <v>0</v>
      </c>
      <c r="I26" s="236">
        <f>REKENVOLUMES!$L$28</f>
        <v>0</v>
      </c>
      <c r="J26" s="128">
        <f>REKENVOLUMES!$N$28-(1-FACTOR_DOORVOER)*(REKENVOLUMES!$P$28+REKENVOLUMES!$R$28)</f>
        <v>0</v>
      </c>
      <c r="K26" s="248" t="e">
        <f t="shared" si="2"/>
        <v>#DIV/0!</v>
      </c>
      <c r="L26" s="251" t="e">
        <f t="shared" si="3"/>
        <v>#DIV/0!</v>
      </c>
      <c r="M26" s="251" t="e">
        <f t="shared" si="4"/>
        <v>#DIV/0!</v>
      </c>
      <c r="N26" s="284" t="e">
        <f t="shared" si="5"/>
        <v>#DIV/0!</v>
      </c>
    </row>
    <row r="27" spans="1:14" ht="15" customHeight="1">
      <c r="A27" s="286" t="s">
        <v>124</v>
      </c>
      <c r="B27" s="84"/>
      <c r="C27" s="227" t="s">
        <v>108</v>
      </c>
      <c r="D27" s="228" t="s">
        <v>108</v>
      </c>
      <c r="E27" s="228" t="s">
        <v>108</v>
      </c>
      <c r="F27" s="84" t="s">
        <v>108</v>
      </c>
      <c r="G27" s="235">
        <f>INDEX(Rekenvolumes[Afnameklanten op TRHS (∑)],1)</f>
        <v>0</v>
      </c>
      <c r="H27" s="236">
        <f>INDEX(Rekenvolumes[Afnameklanten op MS (∑)],1)-(1-FACTOR_DOORVOER)*INDEX(Rekenvolumes[Doorvoer op 26-1kV],1)</f>
        <v>0</v>
      </c>
      <c r="I27" s="236">
        <f>INDEX(Rekenvolumes[Afnameklanten op TRLS (∑)],1)</f>
        <v>0</v>
      </c>
      <c r="J27" s="128">
        <f>INDEX(Rekenvolumes[Afnameklanten op LS (∑)],1)-(1-FACTOR_DOORVOER)*(INDEX(Rekenvolumes[Doorvoer op LS met piekmeting],1)+INDEX(Rekenvolumes[Doorvoer op LS zonder piekmeting],1))</f>
        <v>0</v>
      </c>
      <c r="K27" s="248" t="e">
        <f t="shared" si="2"/>
        <v>#DIV/0!</v>
      </c>
      <c r="L27" s="251" t="e">
        <f t="shared" si="3"/>
        <v>#DIV/0!</v>
      </c>
      <c r="M27" s="251" t="e">
        <f t="shared" si="4"/>
        <v>#DIV/0!</v>
      </c>
      <c r="N27" s="284" t="e">
        <f t="shared" si="5"/>
        <v>#DIV/0!</v>
      </c>
    </row>
    <row r="28" spans="1:14" ht="15" customHeight="1">
      <c r="A28" s="286" t="s">
        <v>27</v>
      </c>
      <c r="B28" s="84" t="s">
        <v>16</v>
      </c>
      <c r="C28" s="227" t="s">
        <v>108</v>
      </c>
      <c r="D28" s="228" t="s">
        <v>108</v>
      </c>
      <c r="E28" s="228" t="s">
        <v>108</v>
      </c>
      <c r="F28" s="84" t="s">
        <v>108</v>
      </c>
      <c r="G28" s="235" t="e">
        <f>'T2'!$M$93</f>
        <v>#DIV/0!</v>
      </c>
      <c r="H28" s="236" t="e">
        <f>'T2'!$N$93</f>
        <v>#VALUE!</v>
      </c>
      <c r="I28" s="236" t="e">
        <f>'T2'!$O$93</f>
        <v>#VALUE!</v>
      </c>
      <c r="J28" s="128" t="e">
        <f>'T2'!$P$93</f>
        <v>#VALUE!</v>
      </c>
      <c r="K28" s="248" t="str">
        <f>IF(ISNUMBER($G28),$G28/SUM($G28:$J28),"")</f>
        <v/>
      </c>
      <c r="L28" s="251" t="str">
        <f t="shared" si="3"/>
        <v/>
      </c>
      <c r="M28" s="251" t="str">
        <f t="shared" si="4"/>
        <v/>
      </c>
      <c r="N28" s="284" t="str">
        <f t="shared" si="5"/>
        <v/>
      </c>
    </row>
    <row r="29" spans="1:14" ht="15" customHeight="1">
      <c r="A29" s="286" t="s">
        <v>83</v>
      </c>
      <c r="B29" s="84" t="s">
        <v>16</v>
      </c>
      <c r="C29" s="227" t="s">
        <v>108</v>
      </c>
      <c r="D29" s="228" t="s">
        <v>108</v>
      </c>
      <c r="E29" s="228" t="s">
        <v>108</v>
      </c>
      <c r="F29" s="84" t="s">
        <v>108</v>
      </c>
      <c r="G29" s="235" t="e">
        <f>'T2'!$M$94</f>
        <v>#DIV/0!</v>
      </c>
      <c r="H29" s="236" t="e">
        <f>'T2'!$N$94</f>
        <v>#VALUE!</v>
      </c>
      <c r="I29" s="236" t="e">
        <f>'T2'!$O$94</f>
        <v>#VALUE!</v>
      </c>
      <c r="J29" s="128" t="e">
        <f>'T2'!$P$94</f>
        <v>#VALUE!</v>
      </c>
      <c r="K29" s="248" t="str">
        <f t="shared" si="2"/>
        <v/>
      </c>
      <c r="L29" s="251" t="str">
        <f t="shared" si="3"/>
        <v/>
      </c>
      <c r="M29" s="251" t="str">
        <f t="shared" si="4"/>
        <v/>
      </c>
      <c r="N29" s="284" t="str">
        <f t="shared" si="5"/>
        <v/>
      </c>
    </row>
    <row r="30" spans="1:14" ht="15" customHeight="1">
      <c r="A30" s="286" t="s">
        <v>18</v>
      </c>
      <c r="B30" s="84" t="s">
        <v>16</v>
      </c>
      <c r="C30" s="227" t="s">
        <v>108</v>
      </c>
      <c r="D30" s="228" t="s">
        <v>108</v>
      </c>
      <c r="E30" s="228" t="s">
        <v>108</v>
      </c>
      <c r="F30" s="84" t="s">
        <v>108</v>
      </c>
      <c r="G30" s="235" t="e">
        <f>'T2'!$M$97</f>
        <v>#VALUE!</v>
      </c>
      <c r="H30" s="236" t="e">
        <f>'T2'!$N$97</f>
        <v>#VALUE!</v>
      </c>
      <c r="I30" s="236" t="e">
        <f>'T2'!$O$97</f>
        <v>#VALUE!</v>
      </c>
      <c r="J30" s="128" t="e">
        <f>'T2'!$P$97</f>
        <v>#VALUE!</v>
      </c>
      <c r="K30" s="248" t="str">
        <f>IF(ISNUMBER($G30),$G30/SUM($G30:$J30),"")</f>
        <v/>
      </c>
      <c r="L30" s="251" t="str">
        <f>IF(ISNUMBER($H30),$H30/SUM($G30:$J30),"")</f>
        <v/>
      </c>
      <c r="M30" s="251" t="str">
        <f>IF(ISNUMBER($I30),$I30/SUM($G30:$J30),"")</f>
        <v/>
      </c>
      <c r="N30" s="284" t="str">
        <f>IF(ISNUMBER($J30),$J30/SUM($G30:$J30),"")</f>
        <v/>
      </c>
    </row>
    <row r="31" spans="1:14" ht="15" customHeight="1">
      <c r="A31" s="286" t="s">
        <v>229</v>
      </c>
      <c r="B31" s="84" t="s">
        <v>16</v>
      </c>
      <c r="C31" s="227" t="s">
        <v>108</v>
      </c>
      <c r="D31" s="228" t="s">
        <v>108</v>
      </c>
      <c r="E31" s="228" t="s">
        <v>108</v>
      </c>
      <c r="F31" s="84" t="s">
        <v>108</v>
      </c>
      <c r="G31" s="235" t="e">
        <f>'T2'!$M$95</f>
        <v>#VALUE!</v>
      </c>
      <c r="H31" s="236" t="e">
        <f>'T2'!$N$95</f>
        <v>#VALUE!</v>
      </c>
      <c r="I31" s="236" t="e">
        <f>'T2'!$O$95</f>
        <v>#VALUE!</v>
      </c>
      <c r="J31" s="128" t="e">
        <f>'T2'!$P$95</f>
        <v>#VALUE!</v>
      </c>
      <c r="K31" s="248" t="str">
        <f t="shared" si="2"/>
        <v/>
      </c>
      <c r="L31" s="251" t="str">
        <f t="shared" si="3"/>
        <v/>
      </c>
      <c r="M31" s="251" t="str">
        <f t="shared" si="4"/>
        <v/>
      </c>
      <c r="N31" s="284" t="str">
        <f t="shared" si="5"/>
        <v/>
      </c>
    </row>
    <row r="32" spans="1:14" ht="15" customHeight="1">
      <c r="A32" s="286" t="s">
        <v>230</v>
      </c>
      <c r="B32" s="84"/>
      <c r="C32" s="227"/>
      <c r="D32" s="228"/>
      <c r="E32" s="228"/>
      <c r="F32" s="84" t="s">
        <v>108</v>
      </c>
      <c r="G32" s="235">
        <v>0</v>
      </c>
      <c r="H32" s="236">
        <v>0</v>
      </c>
      <c r="I32" s="236">
        <v>0</v>
      </c>
      <c r="J32" s="128">
        <v>1</v>
      </c>
      <c r="K32" s="248">
        <f t="shared" si="2"/>
        <v>0</v>
      </c>
      <c r="L32" s="251">
        <f t="shared" si="3"/>
        <v>0</v>
      </c>
      <c r="M32" s="251">
        <f t="shared" si="4"/>
        <v>0</v>
      </c>
      <c r="N32" s="284">
        <f t="shared" si="5"/>
        <v>1</v>
      </c>
    </row>
    <row r="33" spans="1:18" ht="15" customHeight="1">
      <c r="A33" s="286" t="s">
        <v>258</v>
      </c>
      <c r="B33" s="84" t="s">
        <v>20</v>
      </c>
      <c r="C33" s="227" t="s">
        <v>108</v>
      </c>
      <c r="D33" s="228" t="s">
        <v>108</v>
      </c>
      <c r="E33" s="228" t="s">
        <v>108</v>
      </c>
      <c r="F33" s="84" t="s">
        <v>108</v>
      </c>
      <c r="G33" s="248" t="e">
        <f>75%*$K$27+25%*$K$25</f>
        <v>#DIV/0!</v>
      </c>
      <c r="H33" s="366" t="e">
        <f>75%*$L$27+25%*$L$25</f>
        <v>#DIV/0!</v>
      </c>
      <c r="I33" s="366" t="e">
        <f>75%*$M$27+25%*$M$25</f>
        <v>#DIV/0!</v>
      </c>
      <c r="J33" s="367" t="e">
        <f>75%*$N$27+25%*$N$25</f>
        <v>#DIV/0!</v>
      </c>
      <c r="K33" s="248" t="str">
        <f>IF(ISNUMBER($G33),MIN($G33/SUM($G33:$J33),(1+MAXTOENAME_TRHS)*B2020_ODV_TRHS/'T2'!$K$96),"")</f>
        <v/>
      </c>
      <c r="L33" s="251" t="str">
        <f>IF(ISNUMBER($H33),(1-$K33)*$H33/SUM($H33:$J33),"")</f>
        <v/>
      </c>
      <c r="M33" s="251" t="str">
        <f>IF(ISNUMBER($I33),(1-$K33)*$I33/SUM($H33:$J33),"")</f>
        <v/>
      </c>
      <c r="N33" s="284" t="str">
        <f>IF(ISNUMBER($J33),(1-$K33)*$J33/SUM($H33:$J33),"")</f>
        <v/>
      </c>
    </row>
    <row r="34" spans="1:18" ht="15" customHeight="1">
      <c r="A34" s="286" t="s">
        <v>259</v>
      </c>
      <c r="B34" s="84" t="s">
        <v>20</v>
      </c>
      <c r="C34" s="227" t="s">
        <v>108</v>
      </c>
      <c r="D34" s="228" t="s">
        <v>108</v>
      </c>
      <c r="E34" s="228" t="s">
        <v>108</v>
      </c>
      <c r="F34" s="84" t="s">
        <v>108</v>
      </c>
      <c r="G34" s="259" t="e">
        <f>75%*$K$27+25%*$K$25</f>
        <v>#DIV/0!</v>
      </c>
      <c r="H34" s="366" t="e">
        <f>75%*$L$27+25%*$L$25</f>
        <v>#DIV/0!</v>
      </c>
      <c r="I34" s="366" t="e">
        <f>75%*$M$27+25%*$M$25</f>
        <v>#DIV/0!</v>
      </c>
      <c r="J34" s="367" t="e">
        <f>75%*$N$27+25%*$N$25</f>
        <v>#DIV/0!</v>
      </c>
      <c r="K34" s="248" t="str">
        <f>IF(ISNUMBER($G34),MIN($G34/SUM($G34:$J34),(1+MAXTOENAME_TRHS)*B2020_TOE_TRHS/'T2'!$K$98),"")</f>
        <v/>
      </c>
      <c r="L34" s="251" t="str">
        <f>IF(ISNUMBER($H34),(1-$K34)*$H34/SUM($H34:$J34),"")</f>
        <v/>
      </c>
      <c r="M34" s="251" t="str">
        <f>IF(ISNUMBER($I34),(1-$K34)*$I34/SUM($H34:$J34),"")</f>
        <v/>
      </c>
      <c r="N34" s="284" t="str">
        <f>IF(ISNUMBER($J34),(1-$K34)*$J34/SUM($H34:$J34),"")</f>
        <v/>
      </c>
    </row>
    <row r="35" spans="1:18" ht="15" customHeight="1">
      <c r="A35" s="286" t="s">
        <v>15</v>
      </c>
      <c r="B35" s="653"/>
      <c r="C35" s="227" t="s">
        <v>108</v>
      </c>
      <c r="D35" s="228" t="s">
        <v>108</v>
      </c>
      <c r="E35" s="228" t="s">
        <v>108</v>
      </c>
      <c r="F35" s="84" t="s">
        <v>108</v>
      </c>
      <c r="G35" s="650"/>
      <c r="H35" s="651"/>
      <c r="I35" s="651"/>
      <c r="J35" s="652"/>
      <c r="K35" s="248" t="str">
        <f>IF(ISNUMBER($G35),$G35/SUM($G35:$J35),"")</f>
        <v/>
      </c>
      <c r="L35" s="251" t="str">
        <f>IF(ISNUMBER($H35),$H35/SUM($G35:$J35),"")</f>
        <v/>
      </c>
      <c r="M35" s="251" t="str">
        <f>IF(ISNUMBER($I35),$I35/SUM($G35:$J35),"")</f>
        <v/>
      </c>
      <c r="N35" s="284" t="str">
        <f>IF(ISNUMBER($J35),$J35/SUM($G35:$J35),"")</f>
        <v/>
      </c>
    </row>
    <row r="36" spans="1:18" ht="15" customHeight="1">
      <c r="A36" s="286" t="s">
        <v>335</v>
      </c>
      <c r="B36" s="653"/>
      <c r="C36" s="227" t="s">
        <v>108</v>
      </c>
      <c r="D36" s="228" t="s">
        <v>108</v>
      </c>
      <c r="E36" s="228" t="s">
        <v>108</v>
      </c>
      <c r="F36" s="84"/>
      <c r="G36" s="650"/>
      <c r="H36" s="651"/>
      <c r="I36" s="651"/>
      <c r="J36" s="652">
        <v>0</v>
      </c>
      <c r="K36" s="248" t="str">
        <f>IF(ISNUMBER($G36),$G36/SUM($G36:$J36),"")</f>
        <v/>
      </c>
      <c r="L36" s="251" t="str">
        <f>IF(ISNUMBER($H36),$H36/SUM($G36:$J36),"")</f>
        <v/>
      </c>
      <c r="M36" s="251" t="str">
        <f>IF(ISNUMBER($I36),$I36/SUM($G36:$J36),"")</f>
        <v/>
      </c>
      <c r="N36" s="284" t="e">
        <f>IF(ISNUMBER($J36),$J36/SUM($G36:$J36),"")</f>
        <v>#DIV/0!</v>
      </c>
    </row>
    <row r="37" spans="1:18" ht="15" customHeight="1">
      <c r="A37" s="286" t="s">
        <v>84</v>
      </c>
      <c r="B37" s="653"/>
      <c r="C37" s="227" t="s">
        <v>108</v>
      </c>
      <c r="D37" s="228" t="s">
        <v>108</v>
      </c>
      <c r="E37" s="228" t="s">
        <v>108</v>
      </c>
      <c r="F37" s="84" t="s">
        <v>108</v>
      </c>
      <c r="G37" s="650"/>
      <c r="H37" s="651"/>
      <c r="I37" s="651"/>
      <c r="J37" s="652"/>
      <c r="K37" s="248" t="str">
        <f>IF(ISNUMBER($G37),$G37/SUM($G37:$J37),"")</f>
        <v/>
      </c>
      <c r="L37" s="251" t="str">
        <f>IF(ISNUMBER($H37),$H37/SUM($G37:$J37),"")</f>
        <v/>
      </c>
      <c r="M37" s="251" t="str">
        <f>IF(ISNUMBER($I37),$I37/SUM($G37:$J37),"")</f>
        <v/>
      </c>
      <c r="N37" s="284" t="str">
        <f>IF(ISNUMBER($J37),$J37/SUM($G37:$J37),"")</f>
        <v/>
      </c>
    </row>
    <row r="38" spans="1:18" ht="15" customHeight="1">
      <c r="A38" s="654"/>
      <c r="B38" s="653"/>
      <c r="C38" s="655"/>
      <c r="D38" s="656"/>
      <c r="E38" s="656"/>
      <c r="F38" s="657"/>
      <c r="G38" s="650"/>
      <c r="H38" s="651"/>
      <c r="I38" s="651"/>
      <c r="J38" s="652"/>
      <c r="K38" s="671" t="str">
        <f>IF(ISNUMBER($G38),$G38/SUM($G38:$J38),"")</f>
        <v/>
      </c>
      <c r="L38" s="672" t="str">
        <f>IF(ISNUMBER($H38),$H38/SUM($G38:$J38),"")</f>
        <v/>
      </c>
      <c r="M38" s="672" t="str">
        <f t="shared" ref="M38:M40" si="6">IF(ISNUMBER($I38),$I38/SUM($G38:$J38),"")</f>
        <v/>
      </c>
      <c r="N38" s="673" t="str">
        <f t="shared" ref="N38:N40" si="7">IF(ISNUMBER($J38),$J38/SUM($G38:$J38),"")</f>
        <v/>
      </c>
    </row>
    <row r="39" spans="1:18" ht="15" customHeight="1">
      <c r="A39" s="654"/>
      <c r="B39" s="653"/>
      <c r="C39" s="655"/>
      <c r="D39" s="656"/>
      <c r="E39" s="656"/>
      <c r="F39" s="657"/>
      <c r="G39" s="650"/>
      <c r="H39" s="651"/>
      <c r="I39" s="651"/>
      <c r="J39" s="652"/>
      <c r="K39" s="671" t="str">
        <f t="shared" ref="K39:K40" si="8">IF(ISNUMBER($G39),$G39/SUM($G39:$J39),"")</f>
        <v/>
      </c>
      <c r="L39" s="672" t="str">
        <f t="shared" ref="L39:L40" si="9">IF(ISNUMBER($H39),$H39/SUM($G39:$J39),"")</f>
        <v/>
      </c>
      <c r="M39" s="672" t="str">
        <f t="shared" si="6"/>
        <v/>
      </c>
      <c r="N39" s="673" t="str">
        <f t="shared" si="7"/>
        <v/>
      </c>
    </row>
    <row r="40" spans="1:18" ht="15" customHeight="1" thickBot="1">
      <c r="A40" s="641"/>
      <c r="B40" s="644"/>
      <c r="C40" s="658"/>
      <c r="D40" s="659"/>
      <c r="E40" s="659"/>
      <c r="F40" s="642"/>
      <c r="G40" s="645"/>
      <c r="H40" s="660"/>
      <c r="I40" s="660"/>
      <c r="J40" s="646"/>
      <c r="K40" s="669" t="str">
        <f t="shared" si="8"/>
        <v/>
      </c>
      <c r="L40" s="674" t="str">
        <f t="shared" si="9"/>
        <v/>
      </c>
      <c r="M40" s="674" t="str">
        <f t="shared" si="6"/>
        <v/>
      </c>
      <c r="N40" s="670" t="str">
        <f t="shared" si="7"/>
        <v/>
      </c>
    </row>
    <row r="43" spans="1:18" ht="15" customHeight="1" thickBot="1"/>
    <row r="44" spans="1:18" ht="15" customHeight="1">
      <c r="A44" s="78"/>
      <c r="B44" s="131"/>
      <c r="C44" s="1431" t="s">
        <v>107</v>
      </c>
      <c r="D44" s="1432"/>
      <c r="E44" s="1423" t="s">
        <v>173</v>
      </c>
      <c r="F44" s="1423"/>
      <c r="G44" s="1423" t="s">
        <v>106</v>
      </c>
      <c r="H44" s="1424"/>
      <c r="I44" s="1223"/>
      <c r="J44" s="1223"/>
      <c r="K44" s="1223"/>
      <c r="L44" s="295"/>
      <c r="M44" s="295"/>
      <c r="N44" s="295"/>
      <c r="O44" s="296"/>
      <c r="P44" s="296"/>
      <c r="R44" s="229"/>
    </row>
    <row r="45" spans="1:18" ht="30" customHeight="1" thickBot="1">
      <c r="A45" s="299" t="s">
        <v>100</v>
      </c>
      <c r="B45" s="231" t="s">
        <v>17</v>
      </c>
      <c r="C45" s="230" t="s">
        <v>354</v>
      </c>
      <c r="D45" s="231" t="s">
        <v>553</v>
      </c>
      <c r="E45" s="230" t="s">
        <v>355</v>
      </c>
      <c r="F45" s="231" t="s">
        <v>552</v>
      </c>
      <c r="G45" s="230" t="s">
        <v>356</v>
      </c>
      <c r="H45" s="1235" t="s">
        <v>554</v>
      </c>
    </row>
    <row r="46" spans="1:18" ht="15" customHeight="1">
      <c r="A46" s="301" t="s">
        <v>318</v>
      </c>
      <c r="B46" s="310" t="s">
        <v>12</v>
      </c>
      <c r="C46" s="226" t="s">
        <v>108</v>
      </c>
      <c r="D46" s="310" t="s">
        <v>108</v>
      </c>
      <c r="E46" s="232">
        <f>INDEX(Rekenvolumes[Afnameklanten op LS met piekmeting],11)+FACTOR_DOORVOER*INDEX(Rekenvolumes[Doorvoer op LS met piekmeting],11)</f>
        <v>0</v>
      </c>
      <c r="F46" s="234">
        <f>INDEX(Rekenvolumes[Afnameklanten op LS met klassieke meter],11)+FACTOR_DOORVOER*INDEX(Rekenvolumes[Doorvoer op LS zonder piekmeting],11)+INDEX(Rekenvolumes[Prosumenten met terugdraaiende teller op LS],11)</f>
        <v>0</v>
      </c>
      <c r="G46" s="232" t="e">
        <f t="shared" ref="G46:G54" si="10">IF(ISNUMBER($E46),$E46/SUM($E46:$F46),"")</f>
        <v>#DIV/0!</v>
      </c>
      <c r="H46" s="297" t="e">
        <f t="shared" ref="H46:H54" si="11">IF(ISNUMBER($F46),$F46/SUM($E46:$F46),"")</f>
        <v>#DIV/0!</v>
      </c>
      <c r="I46" s="591" t="s">
        <v>122</v>
      </c>
    </row>
    <row r="47" spans="1:18" ht="15" customHeight="1">
      <c r="A47" s="286" t="s">
        <v>14</v>
      </c>
      <c r="B47" s="311" t="s">
        <v>14</v>
      </c>
      <c r="C47" s="227" t="s">
        <v>108</v>
      </c>
      <c r="D47" s="311" t="s">
        <v>108</v>
      </c>
      <c r="E47" s="235">
        <f>REKENVOLUMES!$O$28+FACTOR_DOORVOER*REKENVOLUMES!$P$28</f>
        <v>0</v>
      </c>
      <c r="F47" s="128">
        <f>REKENVOLUMES!$Q$28+FACTOR_DOORVOER*REKENVOLUMES!$R$28+REKENVOLUMES!$S$28</f>
        <v>0</v>
      </c>
      <c r="G47" s="235" t="e">
        <f t="shared" si="10"/>
        <v>#DIV/0!</v>
      </c>
      <c r="H47" s="298" t="e">
        <f t="shared" si="11"/>
        <v>#DIV/0!</v>
      </c>
    </row>
    <row r="48" spans="1:18" ht="15" customHeight="1">
      <c r="A48" s="286" t="s">
        <v>27</v>
      </c>
      <c r="B48" s="311" t="s">
        <v>16</v>
      </c>
      <c r="C48" s="227" t="s">
        <v>108</v>
      </c>
      <c r="D48" s="311" t="s">
        <v>108</v>
      </c>
      <c r="E48" s="235" t="e">
        <f>'T2'!$Q$93</f>
        <v>#DIV/0!</v>
      </c>
      <c r="F48" s="128" t="e">
        <f>'T2'!$R$93</f>
        <v>#DIV/0!</v>
      </c>
      <c r="G48" s="235" t="str">
        <f t="shared" si="10"/>
        <v/>
      </c>
      <c r="H48" s="298" t="str">
        <f t="shared" si="11"/>
        <v/>
      </c>
    </row>
    <row r="49" spans="1:8" ht="15" customHeight="1">
      <c r="A49" s="286" t="s">
        <v>83</v>
      </c>
      <c r="B49" s="311" t="s">
        <v>16</v>
      </c>
      <c r="C49" s="227" t="s">
        <v>108</v>
      </c>
      <c r="D49" s="311" t="s">
        <v>108</v>
      </c>
      <c r="E49" s="235" t="e">
        <f>'T2'!$Q$94</f>
        <v>#DIV/0!</v>
      </c>
      <c r="F49" s="128" t="e">
        <f>'T2'!$R$94</f>
        <v>#DIV/0!</v>
      </c>
      <c r="G49" s="235" t="str">
        <f t="shared" si="10"/>
        <v/>
      </c>
      <c r="H49" s="298" t="str">
        <f t="shared" si="11"/>
        <v/>
      </c>
    </row>
    <row r="50" spans="1:8" ht="15" customHeight="1">
      <c r="A50" s="286" t="s">
        <v>229</v>
      </c>
      <c r="B50" s="311" t="s">
        <v>16</v>
      </c>
      <c r="C50" s="227" t="s">
        <v>108</v>
      </c>
      <c r="D50" s="311" t="s">
        <v>108</v>
      </c>
      <c r="E50" s="235" t="e">
        <f>'T2'!$Q$95</f>
        <v>#VALUE!</v>
      </c>
      <c r="F50" s="128" t="e">
        <f>'T2'!$R$95</f>
        <v>#VALUE!</v>
      </c>
      <c r="G50" s="235" t="str">
        <f t="shared" si="10"/>
        <v/>
      </c>
      <c r="H50" s="298" t="str">
        <f t="shared" si="11"/>
        <v/>
      </c>
    </row>
    <row r="51" spans="1:8" ht="15" customHeight="1">
      <c r="A51" s="286" t="s">
        <v>84</v>
      </c>
      <c r="B51" s="661"/>
      <c r="C51" s="227" t="s">
        <v>108</v>
      </c>
      <c r="D51" s="311" t="s">
        <v>108</v>
      </c>
      <c r="E51" s="650"/>
      <c r="F51" s="652"/>
      <c r="G51" s="235" t="str">
        <f t="shared" si="10"/>
        <v/>
      </c>
      <c r="H51" s="298" t="str">
        <f t="shared" si="11"/>
        <v/>
      </c>
    </row>
    <row r="52" spans="1:8" ht="15" customHeight="1">
      <c r="A52" s="654"/>
      <c r="B52" s="661"/>
      <c r="C52" s="662"/>
      <c r="D52" s="661"/>
      <c r="E52" s="650"/>
      <c r="F52" s="652"/>
      <c r="G52" s="650" t="str">
        <f t="shared" si="10"/>
        <v/>
      </c>
      <c r="H52" s="663" t="str">
        <f t="shared" si="11"/>
        <v/>
      </c>
    </row>
    <row r="53" spans="1:8" ht="15" customHeight="1">
      <c r="A53" s="654"/>
      <c r="B53" s="661"/>
      <c r="C53" s="662"/>
      <c r="D53" s="661"/>
      <c r="E53" s="650"/>
      <c r="F53" s="652"/>
      <c r="G53" s="650" t="str">
        <f t="shared" si="10"/>
        <v/>
      </c>
      <c r="H53" s="663" t="str">
        <f t="shared" si="11"/>
        <v/>
      </c>
    </row>
    <row r="54" spans="1:8" ht="15" customHeight="1" thickBot="1">
      <c r="A54" s="641"/>
      <c r="B54" s="664"/>
      <c r="C54" s="665"/>
      <c r="D54" s="664"/>
      <c r="E54" s="645"/>
      <c r="F54" s="646"/>
      <c r="G54" s="645" t="str">
        <f t="shared" si="10"/>
        <v/>
      </c>
      <c r="H54" s="666" t="str">
        <f t="shared" si="11"/>
        <v/>
      </c>
    </row>
  </sheetData>
  <sheetProtection algorithmName="SHA-512" hashValue="mD7mrLBUA5Esg9vK4c5+p2KfrZpEyIB0p6e45M0407lEL+bNVaDHyJZoa35hZSssHIhj2BEF4KDlTqZ0P/rO/g==" saltValue="f2fLr4PU2kJ4oLTLjc2YKg==" spinCount="100000" sheet="1" objects="1" scenarios="1" insertRows="0" sort="0" autoFilter="0"/>
  <mergeCells count="11">
    <mergeCell ref="G44:H44"/>
    <mergeCell ref="A1:N1"/>
    <mergeCell ref="D4:F4"/>
    <mergeCell ref="K19:N19"/>
    <mergeCell ref="C7:D7"/>
    <mergeCell ref="E7:F7"/>
    <mergeCell ref="G7:H7"/>
    <mergeCell ref="C19:F19"/>
    <mergeCell ref="G19:J19"/>
    <mergeCell ref="C44:D44"/>
    <mergeCell ref="E44:F44"/>
  </mergeCells>
  <conditionalFormatting sqref="K21:K29 E9:E15 G9:G15 G32:G40 K31:K40">
    <cfRule type="expression" dxfId="274" priority="52">
      <formula>$C9&lt;&gt;"x"</formula>
    </cfRule>
  </conditionalFormatting>
  <conditionalFormatting sqref="L21:L29 F9:F15 H9:H15 H32:H40 L31:L40">
    <cfRule type="expression" dxfId="273" priority="51">
      <formula>$D9&lt;&gt;"x"</formula>
    </cfRule>
  </conditionalFormatting>
  <conditionalFormatting sqref="G21:G26 G28">
    <cfRule type="expression" dxfId="272" priority="50">
      <formula>$C21&lt;&gt;"x"</formula>
    </cfRule>
  </conditionalFormatting>
  <conditionalFormatting sqref="H21:H25 H28">
    <cfRule type="expression" dxfId="271" priority="49">
      <formula>$D21&lt;&gt;"x"</formula>
    </cfRule>
  </conditionalFormatting>
  <conditionalFormatting sqref="I21:I25 M21:M29 I28 I32:I40 M31:M40">
    <cfRule type="expression" dxfId="270" priority="48">
      <formula>$E21&lt;&gt;"x"</formula>
    </cfRule>
  </conditionalFormatting>
  <conditionalFormatting sqref="J21:J25 N21:N29 J28 J32:J40 N31:N40">
    <cfRule type="expression" dxfId="269" priority="47">
      <formula>$F21&lt;&gt;"x"</formula>
    </cfRule>
  </conditionalFormatting>
  <conditionalFormatting sqref="G27">
    <cfRule type="expression" dxfId="268" priority="30">
      <formula>$C27&lt;&gt;"x"</formula>
    </cfRule>
  </conditionalFormatting>
  <conditionalFormatting sqref="H27">
    <cfRule type="expression" dxfId="267" priority="29">
      <formula>$D27&lt;&gt;"x"</formula>
    </cfRule>
  </conditionalFormatting>
  <conditionalFormatting sqref="I27">
    <cfRule type="expression" dxfId="266" priority="28">
      <formula>$E27&lt;&gt;"x"</formula>
    </cfRule>
  </conditionalFormatting>
  <conditionalFormatting sqref="J27">
    <cfRule type="expression" dxfId="265" priority="27">
      <formula>$F27&lt;&gt;"x"</formula>
    </cfRule>
  </conditionalFormatting>
  <conditionalFormatting sqref="E46:E54 G46:G54">
    <cfRule type="expression" dxfId="264" priority="26">
      <formula>$C46=""</formula>
    </cfRule>
  </conditionalFormatting>
  <conditionalFormatting sqref="F46:F54 H46:H54">
    <cfRule type="expression" dxfId="263" priority="25">
      <formula>$D46=""</formula>
    </cfRule>
  </conditionalFormatting>
  <conditionalFormatting sqref="G29">
    <cfRule type="expression" dxfId="262" priority="23">
      <formula>$C29&lt;&gt;"x"</formula>
    </cfRule>
  </conditionalFormatting>
  <conditionalFormatting sqref="H29">
    <cfRule type="expression" dxfId="261" priority="22">
      <formula>$D29&lt;&gt;"x"</formula>
    </cfRule>
  </conditionalFormatting>
  <conditionalFormatting sqref="I29">
    <cfRule type="expression" dxfId="260" priority="21">
      <formula>$E29&lt;&gt;"x"</formula>
    </cfRule>
  </conditionalFormatting>
  <conditionalFormatting sqref="J29">
    <cfRule type="expression" dxfId="259" priority="20">
      <formula>$F29&lt;&gt;"x"</formula>
    </cfRule>
  </conditionalFormatting>
  <conditionalFormatting sqref="G31">
    <cfRule type="expression" dxfId="258" priority="19">
      <formula>$C31&lt;&gt;"x"</formula>
    </cfRule>
  </conditionalFormatting>
  <conditionalFormatting sqref="H31">
    <cfRule type="expression" dxfId="257" priority="18">
      <formula>$D31&lt;&gt;"x"</formula>
    </cfRule>
  </conditionalFormatting>
  <conditionalFormatting sqref="I31">
    <cfRule type="expression" dxfId="256" priority="17">
      <formula>$E31&lt;&gt;"x"</formula>
    </cfRule>
  </conditionalFormatting>
  <conditionalFormatting sqref="J31">
    <cfRule type="expression" dxfId="255" priority="16">
      <formula>$F31&lt;&gt;"x"</formula>
    </cfRule>
  </conditionalFormatting>
  <conditionalFormatting sqref="N30">
    <cfRule type="expression" dxfId="254" priority="4">
      <formula>$F30&lt;&gt;"x"</formula>
    </cfRule>
  </conditionalFormatting>
  <conditionalFormatting sqref="G30">
    <cfRule type="expression" dxfId="253" priority="11">
      <formula>$C30&lt;&gt;"x"</formula>
    </cfRule>
  </conditionalFormatting>
  <conditionalFormatting sqref="H30">
    <cfRule type="expression" dxfId="252" priority="10">
      <formula>$D30&lt;&gt;"x"</formula>
    </cfRule>
  </conditionalFormatting>
  <conditionalFormatting sqref="I30">
    <cfRule type="expression" dxfId="251" priority="9">
      <formula>$E30&lt;&gt;"x"</formula>
    </cfRule>
  </conditionalFormatting>
  <conditionalFormatting sqref="J30">
    <cfRule type="expression" dxfId="250" priority="8">
      <formula>$F30&lt;&gt;"x"</formula>
    </cfRule>
  </conditionalFormatting>
  <conditionalFormatting sqref="K30">
    <cfRule type="expression" dxfId="249" priority="7">
      <formula>$C30&lt;&gt;"x"</formula>
    </cfRule>
  </conditionalFormatting>
  <conditionalFormatting sqref="L30">
    <cfRule type="expression" dxfId="248" priority="6">
      <formula>$D30&lt;&gt;"x"</formula>
    </cfRule>
  </conditionalFormatting>
  <conditionalFormatting sqref="M30">
    <cfRule type="expression" dxfId="247" priority="5">
      <formula>$E30&lt;&gt;"x"</formula>
    </cfRule>
  </conditionalFormatting>
  <conditionalFormatting sqref="H26">
    <cfRule type="expression" dxfId="246" priority="3">
      <formula>$D26&lt;&gt;"x"</formula>
    </cfRule>
  </conditionalFormatting>
  <conditionalFormatting sqref="I26">
    <cfRule type="expression" dxfId="245" priority="2">
      <formula>$E26&lt;&gt;"x"</formula>
    </cfRule>
  </conditionalFormatting>
  <conditionalFormatting sqref="J26">
    <cfRule type="expression" dxfId="244" priority="1">
      <formula>$F26&lt;&gt;"x"</formula>
    </cfRule>
  </conditionalFormatting>
  <dataValidations count="2">
    <dataValidation type="list" allowBlank="1" showInputMessage="1" showErrorMessage="1" sqref="C46:D54 C21:F40" xr:uid="{4EF72244-3EB8-4A9E-8978-B74DF6AD8183}">
      <formula1>"x"</formula1>
    </dataValidation>
    <dataValidation type="list" allowBlank="1" showInputMessage="1" showErrorMessage="1" sqref="C9:D15" xr:uid="{00000000-0002-0000-0200-000000000000}">
      <formula1>"x,"</formula1>
    </dataValidation>
  </dataValidations>
  <pageMargins left="0.7" right="0.7" top="0.75" bottom="0.75" header="0.3" footer="0.3"/>
  <pageSetup paperSize="9" orientation="portrait" r:id="rId1"/>
  <ignoredErrors>
    <ignoredError sqref="K22:N27 K38:N40 C52:D54 C46:D47 K31:N32 L28:N28 K29:N29 L21:N21"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Blad17"/>
  <dimension ref="A1:AB29"/>
  <sheetViews>
    <sheetView zoomScaleNormal="100" workbookViewId="0">
      <selection activeCell="D4" sqref="D4:H4"/>
    </sheetView>
  </sheetViews>
  <sheetFormatPr defaultColWidth="10.7265625" defaultRowHeight="15" customHeight="1" outlineLevelCol="1"/>
  <cols>
    <col min="1" max="1" width="30.7265625" style="675" customWidth="1"/>
    <col min="2" max="5" width="15.7265625" style="675" customWidth="1"/>
    <col min="6" max="7" width="15.7265625" style="675" customWidth="1" outlineLevel="1"/>
    <col min="8" max="8" width="15.7265625" style="675" customWidth="1"/>
    <col min="9" max="11" width="15.7265625" style="675" customWidth="1" outlineLevel="1"/>
    <col min="12" max="12" width="15.7265625" style="675" customWidth="1"/>
    <col min="13" max="13" width="15.7265625" style="675" customWidth="1" outlineLevel="1"/>
    <col min="14" max="14" width="15.7265625" style="675" customWidth="1"/>
    <col min="15" max="19" width="15.7265625" style="675" customWidth="1" outlineLevel="1"/>
    <col min="20" max="20" width="15.7265625" style="675" customWidth="1"/>
    <col min="21" max="25" width="15.7265625" style="675" customWidth="1" outlineLevel="1"/>
    <col min="26" max="26" width="15.7265625" style="675" customWidth="1"/>
    <col min="27" max="27" width="5.7265625" style="675" customWidth="1"/>
    <col min="28" max="28" width="10.7265625" style="675" customWidth="1"/>
    <col min="29" max="16384" width="10.7265625" style="675"/>
  </cols>
  <sheetData>
    <row r="1" spans="1:26" ht="30" customHeight="1" thickBot="1">
      <c r="A1" s="1416" t="s">
        <v>174</v>
      </c>
      <c r="B1" s="1417"/>
      <c r="C1" s="1417"/>
      <c r="D1" s="1418"/>
      <c r="E1" s="1418"/>
      <c r="F1" s="1417"/>
      <c r="G1" s="1417"/>
      <c r="H1" s="1418"/>
      <c r="I1" s="1417"/>
      <c r="J1" s="1417"/>
      <c r="K1" s="1417"/>
      <c r="L1" s="1418"/>
      <c r="M1" s="1417"/>
      <c r="N1" s="1418"/>
      <c r="O1" s="1417"/>
      <c r="P1" s="1417"/>
      <c r="Q1" s="1417"/>
      <c r="R1" s="1417"/>
      <c r="S1" s="1417"/>
      <c r="T1" s="1417"/>
      <c r="U1" s="1418"/>
      <c r="V1" s="1417"/>
      <c r="W1" s="1418"/>
      <c r="X1" s="1417"/>
      <c r="Y1" s="1417"/>
      <c r="Z1" s="1419"/>
    </row>
    <row r="3" spans="1:26" ht="15" customHeight="1" thickBot="1"/>
    <row r="4" spans="1:26" ht="15" customHeight="1" thickBot="1">
      <c r="B4" s="129" t="s">
        <v>6</v>
      </c>
      <c r="D4" s="1434" t="str">
        <f>DNB</f>
        <v>Naam distributienetbeheerder</v>
      </c>
      <c r="E4" s="1435"/>
      <c r="F4" s="1435"/>
      <c r="G4" s="1435"/>
      <c r="H4" s="1436"/>
    </row>
    <row r="5" spans="1:26" ht="15" customHeight="1">
      <c r="B5" s="676"/>
    </row>
    <row r="6" spans="1:26" ht="15" customHeight="1" thickBot="1"/>
    <row r="7" spans="1:26" ht="61.5" customHeight="1" thickBot="1">
      <c r="A7" s="677" t="s">
        <v>125</v>
      </c>
      <c r="B7" s="677" t="s">
        <v>122</v>
      </c>
      <c r="C7" s="678" t="s">
        <v>123</v>
      </c>
      <c r="D7" s="679" t="s">
        <v>279</v>
      </c>
      <c r="E7" s="680" t="s">
        <v>308</v>
      </c>
      <c r="F7" s="681" t="s">
        <v>102</v>
      </c>
      <c r="G7" s="682" t="s">
        <v>132</v>
      </c>
      <c r="H7" s="680" t="s">
        <v>309</v>
      </c>
      <c r="I7" s="681" t="s">
        <v>133</v>
      </c>
      <c r="J7" s="681" t="s">
        <v>269</v>
      </c>
      <c r="K7" s="682" t="s">
        <v>270</v>
      </c>
      <c r="L7" s="680" t="s">
        <v>277</v>
      </c>
      <c r="M7" s="681" t="s">
        <v>103</v>
      </c>
      <c r="N7" s="680" t="s">
        <v>310</v>
      </c>
      <c r="O7" s="681" t="s">
        <v>119</v>
      </c>
      <c r="P7" s="681" t="s">
        <v>547</v>
      </c>
      <c r="Q7" s="681" t="s">
        <v>120</v>
      </c>
      <c r="R7" s="681" t="s">
        <v>548</v>
      </c>
      <c r="S7" s="682" t="s">
        <v>121</v>
      </c>
      <c r="T7" s="678" t="s">
        <v>278</v>
      </c>
      <c r="U7" s="683" t="s">
        <v>209</v>
      </c>
      <c r="V7" s="678" t="s">
        <v>267</v>
      </c>
      <c r="W7" s="678" t="s">
        <v>271</v>
      </c>
      <c r="X7" s="678" t="s">
        <v>104</v>
      </c>
      <c r="Y7" s="684" t="s">
        <v>105</v>
      </c>
    </row>
    <row r="8" spans="1:26" s="691" customFormat="1" ht="15" customHeight="1">
      <c r="A8" s="685" t="s">
        <v>124</v>
      </c>
      <c r="B8" s="686">
        <v>1</v>
      </c>
      <c r="C8" s="687">
        <f>SUM(Rekenvolumes[[#This Row],[Afnameklanten (∑)]],Rekenvolumes[[#This Row],[Injectieklanten (∑)]])</f>
        <v>0</v>
      </c>
      <c r="D8" s="688">
        <f>SUM(Rekenvolumes[[#This Row],[Afnameklanten op TRHS (∑)]],Rekenvolumes[[#This Row],[Afnameklanten op MS (∑)]],Rekenvolumes[[#This Row],[Afnameklanten op TRLS (∑)]],Rekenvolumes[[#This Row],[Afnameklanten op LS (∑)]])</f>
        <v>0</v>
      </c>
      <c r="E8" s="689">
        <f>SUM(Rekenvolumes[[#This Row],[Afnameklanten op TRHS]:[Afnameklanten op &gt;26-36 kV met AV ≥ 5MVA]])</f>
        <v>0</v>
      </c>
      <c r="F8" s="741"/>
      <c r="G8" s="742"/>
      <c r="H8" s="690">
        <f>SUM(Rekenvolumes[[#This Row],[Afnameklanten op &gt;26-36 kV met AV &lt; 5MVA]:[Doorvoer op 26-1kV]])</f>
        <v>0</v>
      </c>
      <c r="I8" s="741"/>
      <c r="J8" s="741"/>
      <c r="K8" s="742"/>
      <c r="L8" s="690">
        <f>SUM(Rekenvolumes[[#This Row],[Afnameklanten op TRLS]])</f>
        <v>0</v>
      </c>
      <c r="M8" s="741"/>
      <c r="N8" s="690">
        <f>SUM(Rekenvolumes[[#This Row],[Afnameklanten op LS met piekmeting]:[Prosumenten met terugdraaiende teller op LS]])</f>
        <v>0</v>
      </c>
      <c r="O8" s="741"/>
      <c r="P8" s="741"/>
      <c r="Q8" s="741"/>
      <c r="R8" s="741"/>
      <c r="S8" s="1262"/>
      <c r="T8" s="1240"/>
      <c r="U8" s="753"/>
      <c r="V8" s="753"/>
      <c r="W8" s="753"/>
      <c r="X8" s="753"/>
      <c r="Y8" s="754"/>
    </row>
    <row r="9" spans="1:26" s="691" customFormat="1" ht="15" customHeight="1">
      <c r="A9" s="692" t="s">
        <v>7</v>
      </c>
      <c r="B9" s="693">
        <v>2</v>
      </c>
      <c r="C9" s="694">
        <f>SUM(Rekenvolumes[[#This Row],[Afnameklanten (∑)]],Rekenvolumes[[#This Row],[Injectieklanten (∑)]])</f>
        <v>0</v>
      </c>
      <c r="D9" s="695">
        <f>SUM(Rekenvolumes[[#This Row],[Afnameklanten op TRHS (∑)]],Rekenvolumes[[#This Row],[Afnameklanten op MS (∑)]],Rekenvolumes[[#This Row],[Afnameklanten op TRLS (∑)]],Rekenvolumes[[#This Row],[Afnameklanten op LS (∑)]])</f>
        <v>0</v>
      </c>
      <c r="E9" s="696">
        <f>SUM(Rekenvolumes[[#This Row],[Afnameklanten op TRHS]:[Afnameklanten op &gt;26-36 kV met AV ≥ 5MVA]])</f>
        <v>0</v>
      </c>
      <c r="F9" s="743"/>
      <c r="G9" s="744"/>
      <c r="H9" s="697">
        <f>SUM(Rekenvolumes[[#This Row],[Afnameklanten op &gt;26-36 kV met AV &lt; 5MVA]:[Doorvoer op 26-1kV]])</f>
        <v>0</v>
      </c>
      <c r="I9" s="743"/>
      <c r="J9" s="743"/>
      <c r="K9" s="744"/>
      <c r="L9" s="697">
        <f>SUM(Rekenvolumes[[#This Row],[Afnameklanten op TRLS]])</f>
        <v>0</v>
      </c>
      <c r="M9" s="743"/>
      <c r="N9" s="697">
        <f>SUM(Rekenvolumes[[#This Row],[Afnameklanten op LS met piekmeting]:[Prosumenten met terugdraaiende teller op LS]])</f>
        <v>0</v>
      </c>
      <c r="O9" s="743"/>
      <c r="P9" s="743"/>
      <c r="Q9" s="743"/>
      <c r="R9" s="743"/>
      <c r="S9" s="746"/>
      <c r="T9" s="1241"/>
      <c r="U9" s="755"/>
      <c r="V9" s="755"/>
      <c r="W9" s="755"/>
      <c r="X9" s="755"/>
      <c r="Y9" s="756"/>
    </row>
    <row r="10" spans="1:26" s="691" customFormat="1" ht="15" customHeight="1">
      <c r="A10" s="698" t="s">
        <v>8</v>
      </c>
      <c r="B10" s="699">
        <v>3</v>
      </c>
      <c r="C10" s="694">
        <f>SUM(Rekenvolumes[[#This Row],[Afnameklanten (∑)]],Rekenvolumes[[#This Row],[Injectieklanten (∑)]])</f>
        <v>0</v>
      </c>
      <c r="D10" s="695">
        <f>SUM(Rekenvolumes[[#This Row],[Afnameklanten op TRHS (∑)]],Rekenvolumes[[#This Row],[Afnameklanten op MS (∑)]],Rekenvolumes[[#This Row],[Afnameklanten op TRLS (∑)]],Rekenvolumes[[#This Row],[Afnameklanten op LS (∑)]])</f>
        <v>0</v>
      </c>
      <c r="E10" s="696">
        <f>SUM(Rekenvolumes[[#This Row],[Afnameklanten op TRHS]:[Afnameklanten op &gt;26-36 kV met AV ≥ 5MVA]])</f>
        <v>0</v>
      </c>
      <c r="F10" s="743"/>
      <c r="G10" s="744"/>
      <c r="H10" s="697">
        <f>SUM(Rekenvolumes[[#This Row],[Afnameklanten op &gt;26-36 kV met AV &lt; 5MVA]:[Doorvoer op 26-1kV]])</f>
        <v>0</v>
      </c>
      <c r="I10" s="743"/>
      <c r="J10" s="743"/>
      <c r="K10" s="744"/>
      <c r="L10" s="697">
        <f>SUM(Rekenvolumes[[#This Row],[Afnameklanten op TRLS]])</f>
        <v>0</v>
      </c>
      <c r="M10" s="743"/>
      <c r="N10" s="697">
        <f>SUM(Rekenvolumes[[#This Row],[Afnameklanten op LS met piekmeting]:[Prosumenten met terugdraaiende teller op LS]])</f>
        <v>0</v>
      </c>
      <c r="O10" s="743"/>
      <c r="P10" s="743"/>
      <c r="Q10" s="743"/>
      <c r="R10" s="743"/>
      <c r="S10" s="746"/>
      <c r="T10" s="1241"/>
      <c r="U10" s="755"/>
      <c r="V10" s="755"/>
      <c r="W10" s="755"/>
      <c r="X10" s="755"/>
      <c r="Y10" s="756"/>
    </row>
    <row r="11" spans="1:26" s="691" customFormat="1" ht="15" customHeight="1">
      <c r="A11" s="692" t="s">
        <v>127</v>
      </c>
      <c r="B11" s="693">
        <v>4</v>
      </c>
      <c r="C11" s="694">
        <f>SUM(Rekenvolumes[[#This Row],[Afnameklanten (∑)]],Rekenvolumes[[#This Row],[Injectieklanten (∑)]])</f>
        <v>0</v>
      </c>
      <c r="D11" s="695">
        <f>SUM(Rekenvolumes[[#This Row],[Afnameklanten op TRHS (∑)]],Rekenvolumes[[#This Row],[Afnameklanten op MS (∑)]],Rekenvolumes[[#This Row],[Afnameklanten op TRLS (∑)]],Rekenvolumes[[#This Row],[Afnameklanten op LS (∑)]])</f>
        <v>0</v>
      </c>
      <c r="E11" s="700"/>
      <c r="F11" s="745"/>
      <c r="G11" s="746"/>
      <c r="H11" s="701"/>
      <c r="I11" s="745"/>
      <c r="J11" s="745"/>
      <c r="K11" s="746"/>
      <c r="L11" s="701"/>
      <c r="M11" s="745"/>
      <c r="N11" s="697">
        <f>SUM(Rekenvolumes[[#This Row],[Afnameklanten op LS met piekmeting]:[Prosumenten met terugdraaiende teller op LS]])</f>
        <v>0</v>
      </c>
      <c r="O11" s="743"/>
      <c r="P11" s="743"/>
      <c r="Q11" s="743"/>
      <c r="R11" s="743"/>
      <c r="S11" s="746"/>
      <c r="T11" s="1241"/>
      <c r="U11" s="755"/>
      <c r="V11" s="755"/>
      <c r="W11" s="755"/>
      <c r="X11" s="755"/>
      <c r="Y11" s="756"/>
    </row>
    <row r="12" spans="1:26" s="691" customFormat="1" ht="15" customHeight="1">
      <c r="A12" s="692" t="s">
        <v>128</v>
      </c>
      <c r="B12" s="693">
        <v>5</v>
      </c>
      <c r="C12" s="694">
        <f>SUM(Rekenvolumes[[#This Row],[Afnameklanten (∑)]],Rekenvolumes[[#This Row],[Injectieklanten (∑)]])</f>
        <v>0</v>
      </c>
      <c r="D12" s="695">
        <f>SUM(Rekenvolumes[[#This Row],[Afnameklanten op TRHS (∑)]],Rekenvolumes[[#This Row],[Afnameklanten op MS (∑)]],Rekenvolumes[[#This Row],[Afnameklanten op TRLS (∑)]],Rekenvolumes[[#This Row],[Afnameklanten op LS (∑)]])</f>
        <v>0</v>
      </c>
      <c r="E12" s="700"/>
      <c r="F12" s="745"/>
      <c r="G12" s="746"/>
      <c r="H12" s="701"/>
      <c r="I12" s="745"/>
      <c r="J12" s="745"/>
      <c r="K12" s="746"/>
      <c r="L12" s="701"/>
      <c r="M12" s="745"/>
      <c r="N12" s="697">
        <f>SUM(Rekenvolumes[[#This Row],[Afnameklanten op LS met piekmeting]:[Prosumenten met terugdraaiende teller op LS]])</f>
        <v>0</v>
      </c>
      <c r="O12" s="743"/>
      <c r="P12" s="743"/>
      <c r="Q12" s="743"/>
      <c r="R12" s="743"/>
      <c r="S12" s="746"/>
      <c r="T12" s="1241"/>
      <c r="U12" s="755"/>
      <c r="V12" s="755"/>
      <c r="W12" s="755"/>
      <c r="X12" s="755"/>
      <c r="Y12" s="756"/>
    </row>
    <row r="13" spans="1:26" s="691" customFormat="1" ht="15" customHeight="1">
      <c r="A13" s="692" t="s">
        <v>129</v>
      </c>
      <c r="B13" s="693">
        <v>6</v>
      </c>
      <c r="C13" s="694">
        <f>SUM(Rekenvolumes[[#This Row],[Afnameklanten (∑)]],Rekenvolumes[[#This Row],[Injectieklanten (∑)]])</f>
        <v>0</v>
      </c>
      <c r="D13" s="695">
        <f>SUM(Rekenvolumes[[#This Row],[Afnameklanten op TRHS (∑)]],Rekenvolumes[[#This Row],[Afnameklanten op MS (∑)]],Rekenvolumes[[#This Row],[Afnameklanten op TRLS (∑)]],Rekenvolumes[[#This Row],[Afnameklanten op LS (∑)]])</f>
        <v>0</v>
      </c>
      <c r="E13" s="700"/>
      <c r="F13" s="745"/>
      <c r="G13" s="746"/>
      <c r="H13" s="701"/>
      <c r="I13" s="745"/>
      <c r="J13" s="745"/>
      <c r="K13" s="746"/>
      <c r="L13" s="701"/>
      <c r="M13" s="745"/>
      <c r="N13" s="697">
        <f>SUM(Rekenvolumes[[#This Row],[Afnameklanten op LS met piekmeting]:[Prosumenten met terugdraaiende teller op LS]])</f>
        <v>0</v>
      </c>
      <c r="O13" s="745"/>
      <c r="P13" s="745"/>
      <c r="Q13" s="743"/>
      <c r="R13" s="743"/>
      <c r="S13" s="746"/>
      <c r="T13" s="1241"/>
      <c r="U13" s="755"/>
      <c r="V13" s="755"/>
      <c r="W13" s="755"/>
      <c r="X13" s="755"/>
      <c r="Y13" s="756"/>
    </row>
    <row r="14" spans="1:26" s="691" customFormat="1" ht="15" customHeight="1">
      <c r="A14" s="692" t="s">
        <v>126</v>
      </c>
      <c r="B14" s="693">
        <v>7</v>
      </c>
      <c r="C14" s="694">
        <f>SUM(Rekenvolumes[[#This Row],[Afnameklanten (∑)]],Rekenvolumes[[#This Row],[Injectieklanten (∑)]])</f>
        <v>0</v>
      </c>
      <c r="D14" s="695">
        <f>SUM(Rekenvolumes[[#This Row],[Afnameklanten op TRHS (∑)]],Rekenvolumes[[#This Row],[Afnameklanten op MS (∑)]],Rekenvolumes[[#This Row],[Afnameklanten op TRLS (∑)]],Rekenvolumes[[#This Row],[Afnameklanten op LS (∑)]])</f>
        <v>0</v>
      </c>
      <c r="E14" s="700"/>
      <c r="F14" s="745"/>
      <c r="G14" s="746"/>
      <c r="H14" s="701"/>
      <c r="I14" s="745"/>
      <c r="J14" s="745"/>
      <c r="K14" s="746"/>
      <c r="L14" s="701"/>
      <c r="M14" s="745"/>
      <c r="N14" s="701"/>
      <c r="O14" s="745"/>
      <c r="P14" s="745"/>
      <c r="Q14" s="745"/>
      <c r="R14" s="745"/>
      <c r="S14" s="746"/>
      <c r="T14" s="1242">
        <f>SUM(Rekenvolumes[[#This Row],[Injectieklanten op TRHS]:[Injectieklanten op LS]])</f>
        <v>0</v>
      </c>
      <c r="U14" s="757"/>
      <c r="V14" s="757"/>
      <c r="W14" s="757"/>
      <c r="X14" s="757"/>
      <c r="Y14" s="758"/>
    </row>
    <row r="15" spans="1:26" ht="15" customHeight="1">
      <c r="A15" s="702" t="s">
        <v>110</v>
      </c>
      <c r="B15" s="703">
        <v>8</v>
      </c>
      <c r="C15" s="704">
        <f>SUM(Rekenvolumes[[#This Row],[Afnameklanten (∑)]],Rekenvolumes[[#This Row],[Injectieklanten (∑)]])</f>
        <v>0</v>
      </c>
      <c r="D15" s="705">
        <f>SUM(Rekenvolumes[[#This Row],[Afnameklanten op TRHS (∑)]],Rekenvolumes[[#This Row],[Afnameklanten op MS (∑)]],Rekenvolumes[[#This Row],[Afnameklanten op TRLS (∑)]],Rekenvolumes[[#This Row],[Afnameklanten op LS (∑)]])</f>
        <v>0</v>
      </c>
      <c r="E15" s="706">
        <f>SUM(Rekenvolumes[[#This Row],[Afnameklanten op TRHS]:[Afnameklanten op &gt;26-36 kV met AV ≥ 5MVA]])</f>
        <v>0</v>
      </c>
      <c r="F15" s="747"/>
      <c r="G15" s="748"/>
      <c r="H15" s="706">
        <f>SUM(Rekenvolumes[[#This Row],[Afnameklanten op &gt;26-36 kV met AV &lt; 5MVA]:[Doorvoer op 26-1kV]])</f>
        <v>0</v>
      </c>
      <c r="I15" s="747"/>
      <c r="J15" s="747"/>
      <c r="K15" s="748"/>
      <c r="L15" s="706">
        <f>SUM(Rekenvolumes[[#This Row],[Afnameklanten op TRLS]])</f>
        <v>0</v>
      </c>
      <c r="M15" s="747"/>
      <c r="N15" s="701"/>
      <c r="O15" s="749"/>
      <c r="P15" s="749"/>
      <c r="Q15" s="749"/>
      <c r="R15" s="749"/>
      <c r="S15" s="750"/>
      <c r="T15" s="1243"/>
      <c r="U15" s="759"/>
      <c r="V15" s="759"/>
      <c r="W15" s="759"/>
      <c r="X15" s="759"/>
      <c r="Y15" s="760"/>
    </row>
    <row r="16" spans="1:26" ht="15" customHeight="1">
      <c r="A16" s="702" t="s">
        <v>111</v>
      </c>
      <c r="B16" s="703">
        <v>9</v>
      </c>
      <c r="C16" s="704">
        <f>SUM(Rekenvolumes[[#This Row],[Afnameklanten (∑)]],Rekenvolumes[[#This Row],[Injectieklanten (∑)]])</f>
        <v>0</v>
      </c>
      <c r="D16" s="705">
        <f>SUM(Rekenvolumes[[#This Row],[Afnameklanten op TRHS (∑)]],Rekenvolumes[[#This Row],[Afnameklanten op MS (∑)]],Rekenvolumes[[#This Row],[Afnameklanten op TRLS (∑)]],Rekenvolumes[[#This Row],[Afnameklanten op LS (∑)]])</f>
        <v>0</v>
      </c>
      <c r="E16" s="706">
        <f>SUM(Rekenvolumes[[#This Row],[Afnameklanten op TRHS]:[Afnameklanten op &gt;26-36 kV met AV ≥ 5MVA]])</f>
        <v>0</v>
      </c>
      <c r="F16" s="747"/>
      <c r="G16" s="748"/>
      <c r="H16" s="706">
        <f>SUM(Rekenvolumes[[#This Row],[Afnameklanten op &gt;26-36 kV met AV &lt; 5MVA]:[Doorvoer op 26-1kV]])</f>
        <v>0</v>
      </c>
      <c r="I16" s="747"/>
      <c r="J16" s="747"/>
      <c r="K16" s="748"/>
      <c r="L16" s="706">
        <f>SUM(Rekenvolumes[[#This Row],[Afnameklanten op TRLS]])</f>
        <v>0</v>
      </c>
      <c r="M16" s="747"/>
      <c r="N16" s="701"/>
      <c r="O16" s="749"/>
      <c r="P16" s="749"/>
      <c r="Q16" s="749"/>
      <c r="R16" s="749"/>
      <c r="S16" s="750"/>
      <c r="T16" s="1243"/>
      <c r="U16" s="759"/>
      <c r="V16" s="759"/>
      <c r="W16" s="759"/>
      <c r="X16" s="759"/>
      <c r="Y16" s="760"/>
    </row>
    <row r="17" spans="1:28" ht="15" customHeight="1">
      <c r="A17" s="702" t="s">
        <v>112</v>
      </c>
      <c r="B17" s="703">
        <v>10</v>
      </c>
      <c r="C17" s="704">
        <f>SUM(Rekenvolumes[[#This Row],[Afnameklanten (∑)]],Rekenvolumes[[#This Row],[Injectieklanten (∑)]])</f>
        <v>0</v>
      </c>
      <c r="D17" s="705">
        <f>SUM(Rekenvolumes[[#This Row],[Afnameklanten op TRHS (∑)]],Rekenvolumes[[#This Row],[Afnameklanten op MS (∑)]],Rekenvolumes[[#This Row],[Afnameklanten op TRLS (∑)]],Rekenvolumes[[#This Row],[Afnameklanten op LS (∑)]])</f>
        <v>0</v>
      </c>
      <c r="E17" s="706">
        <f>SUM(Rekenvolumes[[#This Row],[Afnameklanten op TRHS]:[Afnameklanten op &gt;26-36 kV met AV ≥ 5MVA]])</f>
        <v>0</v>
      </c>
      <c r="F17" s="747"/>
      <c r="G17" s="748"/>
      <c r="H17" s="706">
        <f>SUM(Rekenvolumes[[#This Row],[Afnameklanten op &gt;26-36 kV met AV &lt; 5MVA]:[Doorvoer op 26-1kV]])</f>
        <v>0</v>
      </c>
      <c r="I17" s="747"/>
      <c r="J17" s="747"/>
      <c r="K17" s="748"/>
      <c r="L17" s="706">
        <f>SUM(Rekenvolumes[[#This Row],[Afnameklanten op TRLS]])</f>
        <v>0</v>
      </c>
      <c r="M17" s="747"/>
      <c r="N17" s="701"/>
      <c r="O17" s="749"/>
      <c r="P17" s="749"/>
      <c r="Q17" s="749"/>
      <c r="R17" s="749"/>
      <c r="S17" s="750"/>
      <c r="T17" s="1243"/>
      <c r="U17" s="759"/>
      <c r="V17" s="759"/>
      <c r="W17" s="759"/>
      <c r="X17" s="759"/>
      <c r="Y17" s="760"/>
    </row>
    <row r="18" spans="1:28" ht="15" customHeight="1">
      <c r="A18" s="702" t="s">
        <v>113</v>
      </c>
      <c r="B18" s="703">
        <v>11</v>
      </c>
      <c r="C18" s="704">
        <f>SUM(Rekenvolumes[[#This Row],[Afnameklanten (∑)]],Rekenvolumes[[#This Row],[Injectieklanten (∑)]])</f>
        <v>0</v>
      </c>
      <c r="D18" s="705">
        <f>SUM(Rekenvolumes[[#This Row],[Afnameklanten op TRHS (∑)]],Rekenvolumes[[#This Row],[Afnameklanten op MS (∑)]],Rekenvolumes[[#This Row],[Afnameklanten op TRLS (∑)]],Rekenvolumes[[#This Row],[Afnameklanten op LS (∑)]])</f>
        <v>0</v>
      </c>
      <c r="E18" s="707"/>
      <c r="F18" s="749"/>
      <c r="G18" s="750"/>
      <c r="H18" s="707"/>
      <c r="I18" s="749"/>
      <c r="J18" s="749"/>
      <c r="K18" s="750"/>
      <c r="L18" s="707"/>
      <c r="M18" s="749"/>
      <c r="N18" s="706">
        <f>SUM(Rekenvolumes[[#This Row],[Afnameklanten op LS met piekmeting]:[Prosumenten met terugdraaiende teller op LS]])</f>
        <v>0</v>
      </c>
      <c r="O18" s="747"/>
      <c r="P18" s="747"/>
      <c r="Q18" s="766"/>
      <c r="R18" s="766"/>
      <c r="S18" s="1236"/>
      <c r="T18" s="1243"/>
      <c r="U18" s="759"/>
      <c r="V18" s="759"/>
      <c r="W18" s="759"/>
      <c r="X18" s="759"/>
      <c r="Y18" s="760"/>
    </row>
    <row r="19" spans="1:28" ht="15" customHeight="1">
      <c r="A19" s="702" t="s">
        <v>312</v>
      </c>
      <c r="B19" s="703">
        <v>12</v>
      </c>
      <c r="C19" s="704">
        <f>SUM(Rekenvolumes[[#This Row],[Afnameklanten (∑)]],Rekenvolumes[[#This Row],[Injectieklanten (∑)]])</f>
        <v>0</v>
      </c>
      <c r="D19" s="705">
        <f>SUM(Rekenvolumes[[#This Row],[Afnameklanten op TRHS (∑)]],Rekenvolumes[[#This Row],[Afnameklanten op MS (∑)]],Rekenvolumes[[#This Row],[Afnameklanten op TRLS (∑)]],Rekenvolumes[[#This Row],[Afnameklanten op LS (∑)]])</f>
        <v>0</v>
      </c>
      <c r="E19" s="706">
        <f>SUM(Rekenvolumes[[#This Row],[Afnameklanten op TRHS]:[Afnameklanten op &gt;26-36 kV met AV ≥ 5MVA]])</f>
        <v>0</v>
      </c>
      <c r="F19" s="747"/>
      <c r="G19" s="748"/>
      <c r="H19" s="706">
        <f>SUM(Rekenvolumes[[#This Row],[Afnameklanten op &gt;26-36 kV met AV &lt; 5MVA]:[Doorvoer op 26-1kV]])</f>
        <v>0</v>
      </c>
      <c r="I19" s="747"/>
      <c r="J19" s="747"/>
      <c r="K19" s="748"/>
      <c r="L19" s="706">
        <f>SUM(Rekenvolumes[[#This Row],[Afnameklanten op TRLS]])</f>
        <v>0</v>
      </c>
      <c r="M19" s="747"/>
      <c r="N19" s="706">
        <f>SUM(Rekenvolumes[[#This Row],[Afnameklanten op LS met piekmeting]:[Prosumenten met terugdraaiende teller op LS]])</f>
        <v>0</v>
      </c>
      <c r="O19" s="765"/>
      <c r="P19" s="747"/>
      <c r="Q19" s="747"/>
      <c r="R19" s="747"/>
      <c r="S19" s="1237">
        <f>$S$25/DIM_OMV*VOLLASTUREN*(1-ZELFCONSUMPTIE)</f>
        <v>0</v>
      </c>
      <c r="T19" s="1243"/>
      <c r="U19" s="759"/>
      <c r="V19" s="759"/>
      <c r="W19" s="759"/>
      <c r="X19" s="759"/>
      <c r="Y19" s="760"/>
    </row>
    <row r="20" spans="1:28" ht="15" customHeight="1">
      <c r="A20" s="702" t="s">
        <v>313</v>
      </c>
      <c r="B20" s="703">
        <v>13</v>
      </c>
      <c r="C20" s="704">
        <f>SUM(Rekenvolumes[[#This Row],[Afnameklanten (∑)]],Rekenvolumes[[#This Row],[Injectieklanten (∑)]])</f>
        <v>0</v>
      </c>
      <c r="D20" s="705">
        <f>SUM(Rekenvolumes[[#This Row],[Afnameklanten op TRHS (∑)]],Rekenvolumes[[#This Row],[Afnameklanten op MS (∑)]],Rekenvolumes[[#This Row],[Afnameklanten op TRLS (∑)]],Rekenvolumes[[#This Row],[Afnameklanten op LS (∑)]])</f>
        <v>0</v>
      </c>
      <c r="E20" s="706">
        <f>SUM(Rekenvolumes[[#This Row],[Afnameklanten op TRHS]:[Afnameklanten op &gt;26-36 kV met AV ≥ 5MVA]])</f>
        <v>0</v>
      </c>
      <c r="F20" s="747"/>
      <c r="G20" s="748"/>
      <c r="H20" s="706">
        <f>SUM(Rekenvolumes[[#This Row],[Afnameklanten op &gt;26-36 kV met AV &lt; 5MVA]:[Doorvoer op 26-1kV]])</f>
        <v>0</v>
      </c>
      <c r="I20" s="747"/>
      <c r="J20" s="747"/>
      <c r="K20" s="748"/>
      <c r="L20" s="706">
        <f>SUM(Rekenvolumes[[#This Row],[Afnameklanten op TRLS]])</f>
        <v>0</v>
      </c>
      <c r="M20" s="747"/>
      <c r="N20" s="706">
        <f>SUM(Rekenvolumes[[#This Row],[Afnameklanten op LS met piekmeting]:[Prosumenten met terugdraaiende teller op LS]])</f>
        <v>0</v>
      </c>
      <c r="O20" s="765"/>
      <c r="P20" s="747"/>
      <c r="Q20" s="747"/>
      <c r="R20" s="747"/>
      <c r="S20" s="1238"/>
      <c r="T20" s="1243"/>
      <c r="U20" s="759"/>
      <c r="V20" s="759"/>
      <c r="W20" s="759"/>
      <c r="X20" s="759"/>
      <c r="Y20" s="760"/>
    </row>
    <row r="21" spans="1:28" ht="15" customHeight="1">
      <c r="A21" s="702" t="s">
        <v>311</v>
      </c>
      <c r="B21" s="703">
        <v>14</v>
      </c>
      <c r="C21" s="704">
        <f>SUM(Rekenvolumes[[#This Row],[Afnameklanten (∑)]],Rekenvolumes[[#This Row],[Injectieklanten (∑)]])</f>
        <v>0</v>
      </c>
      <c r="D21" s="705">
        <f>SUM(Rekenvolumes[[#This Row],[Afnameklanten op TRHS (∑)]],Rekenvolumes[[#This Row],[Afnameklanten op MS (∑)]],Rekenvolumes[[#This Row],[Afnameklanten op TRLS (∑)]],Rekenvolumes[[#This Row],[Afnameklanten op LS (∑)]])</f>
        <v>0</v>
      </c>
      <c r="E21" s="707"/>
      <c r="F21" s="749"/>
      <c r="G21" s="750"/>
      <c r="H21" s="706">
        <f>SUM(Rekenvolumes[[#This Row],[Afnameklanten op &gt;26-36 kV met AV &lt; 5MVA]:[Doorvoer op 26-1kV]])</f>
        <v>0</v>
      </c>
      <c r="I21" s="749"/>
      <c r="J21" s="747"/>
      <c r="K21" s="750"/>
      <c r="L21" s="706">
        <f>SUM(Rekenvolumes[[#This Row],[Afnameklanten op TRLS]])</f>
        <v>0</v>
      </c>
      <c r="M21" s="747"/>
      <c r="N21" s="706">
        <f>SUM(Rekenvolumes[[#This Row],[Afnameklanten op LS met piekmeting]:[Prosumenten met terugdraaiende teller op LS]])</f>
        <v>0</v>
      </c>
      <c r="O21" s="765"/>
      <c r="P21" s="749"/>
      <c r="Q21" s="747"/>
      <c r="R21" s="747"/>
      <c r="S21" s="750"/>
      <c r="T21" s="1243"/>
      <c r="U21" s="759"/>
      <c r="V21" s="759"/>
      <c r="W21" s="759"/>
      <c r="X21" s="759"/>
      <c r="Y21" s="760"/>
    </row>
    <row r="22" spans="1:28" ht="15" customHeight="1">
      <c r="A22" s="702" t="s">
        <v>116</v>
      </c>
      <c r="B22" s="703">
        <v>15</v>
      </c>
      <c r="C22" s="704">
        <f>SUM(Rekenvolumes[[#This Row],[Afnameklanten (∑)]],Rekenvolumes[[#This Row],[Injectieklanten (∑)]])</f>
        <v>0</v>
      </c>
      <c r="D22" s="705">
        <f>SUM(Rekenvolumes[[#This Row],[Afnameklanten op TRHS (∑)]],Rekenvolumes[[#This Row],[Afnameklanten op MS (∑)]],Rekenvolumes[[#This Row],[Afnameklanten op TRLS (∑)]],Rekenvolumes[[#This Row],[Afnameklanten op LS (∑)]])</f>
        <v>0</v>
      </c>
      <c r="E22" s="707"/>
      <c r="F22" s="749"/>
      <c r="G22" s="750"/>
      <c r="H22" s="707"/>
      <c r="I22" s="749"/>
      <c r="J22" s="749"/>
      <c r="K22" s="750"/>
      <c r="L22" s="707"/>
      <c r="M22" s="749"/>
      <c r="N22" s="707"/>
      <c r="O22" s="749"/>
      <c r="P22" s="749"/>
      <c r="Q22" s="749"/>
      <c r="R22" s="749"/>
      <c r="S22" s="750"/>
      <c r="T22" s="704">
        <f>SUM(Rekenvolumes[[#This Row],[Injectieklanten op TRHS]:[Injectieklanten op LS]])</f>
        <v>0</v>
      </c>
      <c r="U22" s="761"/>
      <c r="V22" s="761"/>
      <c r="W22" s="761"/>
      <c r="X22" s="761"/>
      <c r="Y22" s="762"/>
    </row>
    <row r="23" spans="1:28" ht="15" customHeight="1">
      <c r="A23" s="702" t="s">
        <v>118</v>
      </c>
      <c r="B23" s="703">
        <v>16</v>
      </c>
      <c r="C23" s="704">
        <f>SUM(Rekenvolumes[[#This Row],[Afnameklanten (∑)]],Rekenvolumes[[#This Row],[Injectieklanten (∑)]])</f>
        <v>0</v>
      </c>
      <c r="D23" s="705">
        <f>SUM(Rekenvolumes[[#This Row],[Afnameklanten op TRHS (∑)]],Rekenvolumes[[#This Row],[Afnameklanten op MS (∑)]],Rekenvolumes[[#This Row],[Afnameklanten op TRLS (∑)]],Rekenvolumes[[#This Row],[Afnameklanten op LS (∑)]])</f>
        <v>0</v>
      </c>
      <c r="E23" s="706">
        <f>SUM(Rekenvolumes[[#This Row],[Afnameklanten op TRHS]:[Afnameklanten op &gt;26-36 kV met AV ≥ 5MVA]])</f>
        <v>0</v>
      </c>
      <c r="F23" s="747"/>
      <c r="G23" s="748"/>
      <c r="H23" s="706">
        <f>SUM(Rekenvolumes[[#This Row],[Afnameklanten op &gt;26-36 kV met AV &lt; 5MVA]:[Doorvoer op 26-1kV]])</f>
        <v>0</v>
      </c>
      <c r="I23" s="747"/>
      <c r="J23" s="747"/>
      <c r="K23" s="748"/>
      <c r="L23" s="706">
        <f>SUM(Rekenvolumes[[#This Row],[Afnameklanten op TRLS]])</f>
        <v>0</v>
      </c>
      <c r="M23" s="747"/>
      <c r="N23" s="707"/>
      <c r="O23" s="749"/>
      <c r="P23" s="749"/>
      <c r="Q23" s="749"/>
      <c r="R23" s="749"/>
      <c r="S23" s="750"/>
      <c r="T23" s="1243"/>
      <c r="U23" s="759"/>
      <c r="V23" s="759"/>
      <c r="W23" s="759"/>
      <c r="X23" s="759"/>
      <c r="Y23" s="760"/>
    </row>
    <row r="24" spans="1:28" ht="15" customHeight="1">
      <c r="A24" s="702" t="s">
        <v>117</v>
      </c>
      <c r="B24" s="703">
        <v>17</v>
      </c>
      <c r="C24" s="704">
        <f>SUM(Rekenvolumes[[#This Row],[Afnameklanten (∑)]],Rekenvolumes[[#This Row],[Injectieklanten (∑)]])</f>
        <v>0</v>
      </c>
      <c r="D24" s="705">
        <f>SUM(Rekenvolumes[[#This Row],[Afnameklanten op TRHS (∑)]],Rekenvolumes[[#This Row],[Afnameklanten op MS (∑)]],Rekenvolumes[[#This Row],[Afnameklanten op TRLS (∑)]],Rekenvolumes[[#This Row],[Afnameklanten op LS (∑)]])</f>
        <v>0</v>
      </c>
      <c r="E24" s="706">
        <f>SUM(Rekenvolumes[[#This Row],[Afnameklanten op TRHS]:[Afnameklanten op &gt;26-36 kV met AV ≥ 5MVA]])</f>
        <v>0</v>
      </c>
      <c r="F24" s="747"/>
      <c r="G24" s="748"/>
      <c r="H24" s="706">
        <f>SUM(Rekenvolumes[[#This Row],[Afnameklanten op &gt;26-36 kV met AV &lt; 5MVA]:[Doorvoer op 26-1kV]])</f>
        <v>0</v>
      </c>
      <c r="I24" s="747"/>
      <c r="J24" s="747"/>
      <c r="K24" s="748"/>
      <c r="L24" s="706">
        <f>SUM(Rekenvolumes[[#This Row],[Afnameklanten op TRLS]])</f>
        <v>0</v>
      </c>
      <c r="M24" s="747"/>
      <c r="N24" s="707"/>
      <c r="O24" s="749"/>
      <c r="P24" s="749"/>
      <c r="Q24" s="749"/>
      <c r="R24" s="749"/>
      <c r="S24" s="750"/>
      <c r="T24" s="1243"/>
      <c r="U24" s="759"/>
      <c r="V24" s="759"/>
      <c r="W24" s="759"/>
      <c r="X24" s="759"/>
      <c r="Y24" s="760"/>
    </row>
    <row r="25" spans="1:28" ht="15" customHeight="1">
      <c r="A25" s="708" t="s">
        <v>157</v>
      </c>
      <c r="B25" s="709">
        <v>18</v>
      </c>
      <c r="C25" s="710">
        <f>SUM(Rekenvolumes[[#This Row],[Afnameklanten (∑)]],Rekenvolumes[[#This Row],[Injectieklanten (∑)]])</f>
        <v>0</v>
      </c>
      <c r="D25" s="711">
        <f>SUM(Rekenvolumes[[#This Row],[Afnameklanten op TRHS (∑)]],Rekenvolumes[[#This Row],[Afnameklanten op MS (∑)]],Rekenvolumes[[#This Row],[Afnameklanten op TRLS (∑)]],Rekenvolumes[[#This Row],[Afnameklanten op LS (∑)]])</f>
        <v>0</v>
      </c>
      <c r="E25" s="712"/>
      <c r="F25" s="751"/>
      <c r="G25" s="752"/>
      <c r="H25" s="712"/>
      <c r="I25" s="751"/>
      <c r="J25" s="751"/>
      <c r="K25" s="752"/>
      <c r="L25" s="712"/>
      <c r="M25" s="751"/>
      <c r="N25" s="713">
        <f>SUM(Rekenvolumes[[#This Row],[Afnameklanten op LS met piekmeting]:[Prosumenten met terugdraaiende teller op LS]])</f>
        <v>0</v>
      </c>
      <c r="O25" s="751"/>
      <c r="P25" s="751"/>
      <c r="Q25" s="751"/>
      <c r="R25" s="751"/>
      <c r="S25" s="1239"/>
      <c r="T25" s="1244"/>
      <c r="U25" s="763"/>
      <c r="V25" s="763"/>
      <c r="W25" s="763"/>
      <c r="X25" s="763"/>
      <c r="Y25" s="764"/>
    </row>
    <row r="26" spans="1:28" ht="15" customHeight="1" thickBot="1">
      <c r="C26" s="714"/>
      <c r="D26" s="714"/>
      <c r="E26" s="714"/>
      <c r="F26" s="714"/>
      <c r="G26" s="714"/>
      <c r="H26" s="714"/>
      <c r="I26" s="714"/>
      <c r="J26" s="714"/>
      <c r="K26" s="714"/>
      <c r="L26" s="714"/>
      <c r="M26" s="714"/>
      <c r="N26" s="714"/>
      <c r="O26" s="714"/>
      <c r="P26" s="714"/>
      <c r="Q26" s="714"/>
      <c r="R26" s="714"/>
      <c r="S26" s="714"/>
      <c r="T26" s="714"/>
      <c r="U26" s="714"/>
      <c r="V26" s="714"/>
      <c r="W26" s="714"/>
      <c r="X26" s="714"/>
      <c r="Y26" s="714"/>
      <c r="Z26" s="714"/>
    </row>
    <row r="27" spans="1:28" ht="18" customHeight="1">
      <c r="A27" s="715" t="s">
        <v>193</v>
      </c>
      <c r="B27" s="716"/>
      <c r="C27" s="717">
        <f>SUM($D27,$T27)</f>
        <v>0</v>
      </c>
      <c r="D27" s="717">
        <f>SUM($E27,$H27,$L27,$N27)</f>
        <v>0</v>
      </c>
      <c r="E27" s="1245">
        <f>SUM($F27:$G27)</f>
        <v>0</v>
      </c>
      <c r="F27" s="718">
        <f>(1+FACTOR_MP_TV)*F$15+FACTOR_OST*F$17/12</f>
        <v>0</v>
      </c>
      <c r="G27" s="719">
        <f>(1+FACTOR_MP_TV)*G$15+FACTOR_OST*G$17/12</f>
        <v>0</v>
      </c>
      <c r="H27" s="1245">
        <f>SUM($I27:$K27)</f>
        <v>0</v>
      </c>
      <c r="I27" s="718">
        <f>(1+FACTOR_MP_TV)*I$15+FACTOR_OST*I$17/12</f>
        <v>0</v>
      </c>
      <c r="J27" s="718">
        <f>(1+FACTOR_MP_TV)*J$15+FACTOR_OST*J$17/12</f>
        <v>0</v>
      </c>
      <c r="K27" s="719">
        <f>(1+FACTOR_MP_TV)*K$15+FACTOR_OST*K$17/12</f>
        <v>0</v>
      </c>
      <c r="L27" s="1245">
        <f>SUM($M27:$M27)</f>
        <v>0</v>
      </c>
      <c r="M27" s="719">
        <f>(1+FACTOR_MP_TV)*M$15+FACTOR_OST*M$17/12</f>
        <v>0</v>
      </c>
      <c r="N27" s="1248"/>
      <c r="O27" s="720"/>
      <c r="P27" s="721"/>
      <c r="Q27" s="721"/>
      <c r="R27" s="721"/>
      <c r="S27" s="722"/>
      <c r="T27" s="723"/>
      <c r="U27" s="723"/>
      <c r="V27" s="723"/>
      <c r="W27" s="723"/>
      <c r="X27" s="723"/>
      <c r="Y27" s="724"/>
      <c r="AB27" s="1433" t="s">
        <v>195</v>
      </c>
    </row>
    <row r="28" spans="1:28" ht="18" customHeight="1">
      <c r="A28" s="725" t="s">
        <v>551</v>
      </c>
      <c r="B28" s="726"/>
      <c r="C28" s="727">
        <f>SUM($D28,$T28)</f>
        <v>0</v>
      </c>
      <c r="D28" s="727">
        <f>SUM($E28,$H28,$L28,$N28)</f>
        <v>0</v>
      </c>
      <c r="E28" s="1246">
        <f>SUM($F28:$G28)</f>
        <v>0</v>
      </c>
      <c r="F28" s="728">
        <f>SUM(F$19:F$21)</f>
        <v>0</v>
      </c>
      <c r="G28" s="729">
        <f>SUM(G$19:G$21)</f>
        <v>0</v>
      </c>
      <c r="H28" s="1246">
        <f>SUM($I28:$K28)</f>
        <v>0</v>
      </c>
      <c r="I28" s="728">
        <f>SUM(I$19:I$21)</f>
        <v>0</v>
      </c>
      <c r="J28" s="728">
        <f>SUM(J$19:J$21)</f>
        <v>0</v>
      </c>
      <c r="K28" s="729">
        <f>SUM(K$19:K$21)</f>
        <v>0</v>
      </c>
      <c r="L28" s="1246">
        <f>SUM($M28:$M28)</f>
        <v>0</v>
      </c>
      <c r="M28" s="729">
        <f>SUM(M$19:M$21)</f>
        <v>0</v>
      </c>
      <c r="N28" s="1246">
        <f>SUM($O28:$S28)</f>
        <v>0</v>
      </c>
      <c r="O28" s="730">
        <f t="shared" ref="O28:Q28" si="0">SUM(O$19:O$21)</f>
        <v>0</v>
      </c>
      <c r="P28" s="728">
        <f t="shared" si="0"/>
        <v>0</v>
      </c>
      <c r="Q28" s="728">
        <f t="shared" si="0"/>
        <v>0</v>
      </c>
      <c r="R28" s="728">
        <f>SUM(R$19:R$21)</f>
        <v>0</v>
      </c>
      <c r="S28" s="729">
        <f>SUM(S$19:S$21)</f>
        <v>0</v>
      </c>
      <c r="T28" s="731"/>
      <c r="U28" s="731"/>
      <c r="V28" s="731"/>
      <c r="W28" s="731"/>
      <c r="X28" s="731"/>
      <c r="Y28" s="732"/>
      <c r="AB28" s="1433"/>
    </row>
    <row r="29" spans="1:28" thickBot="1">
      <c r="A29" s="733" t="s">
        <v>194</v>
      </c>
      <c r="B29" s="734"/>
      <c r="C29" s="735">
        <f>SUM($D29,$T29)</f>
        <v>0</v>
      </c>
      <c r="D29" s="735">
        <f>SUM($E29,$H29,$L29,$N29)</f>
        <v>0</v>
      </c>
      <c r="E29" s="1247">
        <f>SUM($F29:$G29)</f>
        <v>0</v>
      </c>
      <c r="F29" s="736">
        <f>0.75*F$8+0.25*SUM(F$19:F$21)</f>
        <v>0</v>
      </c>
      <c r="G29" s="737">
        <f>0.75*G$8+0.25*SUM(G$19:G$21)</f>
        <v>0</v>
      </c>
      <c r="H29" s="1247">
        <f>SUM($I29:$K29)</f>
        <v>0</v>
      </c>
      <c r="I29" s="736">
        <f>0.75*I$8+0.25*SUM(I$19:I$21)</f>
        <v>0</v>
      </c>
      <c r="J29" s="736">
        <f>0.75*J$8+0.25*SUM(J$19:J$21)</f>
        <v>0</v>
      </c>
      <c r="K29" s="737">
        <f>0.75*K$8+0.25*SUM(K$19:K$21)</f>
        <v>0</v>
      </c>
      <c r="L29" s="1247">
        <f>SUM($M29:$M29)</f>
        <v>0</v>
      </c>
      <c r="M29" s="737">
        <f>0.75*M$8+0.25*SUM(M$19:M$21)</f>
        <v>0</v>
      </c>
      <c r="N29" s="1247">
        <f>SUM($O29:$S29)</f>
        <v>0</v>
      </c>
      <c r="O29" s="738">
        <f>0.75*O$8+0.25*SUM(O$19:O$21)</f>
        <v>0</v>
      </c>
      <c r="P29" s="736">
        <f t="shared" ref="P29:R29" si="1">0.75*P$8+0.25*SUM(P$19:P$21)</f>
        <v>0</v>
      </c>
      <c r="Q29" s="736">
        <f t="shared" si="1"/>
        <v>0</v>
      </c>
      <c r="R29" s="736">
        <f t="shared" si="1"/>
        <v>0</v>
      </c>
      <c r="S29" s="737">
        <f>0.75*S$8+0.25*SUM(S$19:S$21)</f>
        <v>0</v>
      </c>
      <c r="T29" s="739"/>
      <c r="U29" s="739"/>
      <c r="V29" s="739"/>
      <c r="W29" s="739"/>
      <c r="X29" s="739"/>
      <c r="Y29" s="740"/>
      <c r="AB29" s="1433"/>
    </row>
  </sheetData>
  <sheetProtection algorithmName="SHA-512" hashValue="ixshYsdry+pON0jb7Oo2yEJ+j8geMhPjB8EfnX5GVCEkw1G0MPzod4OhMI7ENBjvU/FXmjqSFvtturKUdMhJQg==" saltValue="rdDP6+cvkDjG2fBF8Pq0KA==" spinCount="100000" sheet="1" objects="1" scenarios="1" sort="0" autoFilter="0"/>
  <mergeCells count="3">
    <mergeCell ref="A1:Z1"/>
    <mergeCell ref="AB27:AB29"/>
    <mergeCell ref="D4:H4"/>
  </mergeCells>
  <pageMargins left="0.7" right="0.7" top="0.75" bottom="0.75" header="0.3" footer="0.3"/>
  <pageSetup paperSize="9" orientation="portrait" r:id="rId1"/>
  <ignoredErrors>
    <ignoredError sqref="C21:C25 C10 C12:C19"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19"/>
  <dimension ref="A1:L40"/>
  <sheetViews>
    <sheetView zoomScaleNormal="100" workbookViewId="0">
      <selection activeCell="E4" sqref="E4:F4"/>
    </sheetView>
  </sheetViews>
  <sheetFormatPr defaultColWidth="20.7265625" defaultRowHeight="14.5"/>
  <cols>
    <col min="1" max="1" width="50.7265625" style="1" customWidth="1"/>
    <col min="2" max="16384" width="20.7265625" style="1"/>
  </cols>
  <sheetData>
    <row r="1" spans="1:10" ht="30" customHeight="1" thickBot="1">
      <c r="A1" s="1491" t="s">
        <v>205</v>
      </c>
      <c r="B1" s="1492"/>
      <c r="C1" s="1492"/>
      <c r="D1" s="1426"/>
      <c r="E1" s="1492"/>
      <c r="F1" s="1492"/>
      <c r="G1" s="1492"/>
      <c r="H1" s="1492"/>
      <c r="I1" s="1492"/>
      <c r="J1" s="1493"/>
    </row>
    <row r="3" spans="1:10" ht="15" thickBot="1"/>
    <row r="4" spans="1:10" ht="15" thickBot="1">
      <c r="B4" s="129" t="s">
        <v>6</v>
      </c>
      <c r="E4" s="1420" t="str">
        <f>DNB</f>
        <v>Naam distributienetbeheerder</v>
      </c>
      <c r="F4" s="1422"/>
    </row>
    <row r="6" spans="1:10" ht="15" thickBot="1"/>
    <row r="7" spans="1:10" s="60" customFormat="1" ht="45" customHeight="1">
      <c r="A7" s="1481" t="s">
        <v>107</v>
      </c>
      <c r="B7" s="1485" t="s">
        <v>137</v>
      </c>
      <c r="C7" s="1486"/>
      <c r="D7" s="1489" t="s">
        <v>142</v>
      </c>
      <c r="E7" s="1490"/>
      <c r="F7" s="1485" t="s">
        <v>328</v>
      </c>
      <c r="G7" s="1486"/>
      <c r="H7" s="1487"/>
      <c r="I7" s="1488"/>
      <c r="J7" s="1483" t="s">
        <v>325</v>
      </c>
    </row>
    <row r="8" spans="1:10" ht="15" thickBot="1">
      <c r="A8" s="1482"/>
      <c r="B8" s="170" t="s">
        <v>24</v>
      </c>
      <c r="C8" s="171" t="s">
        <v>134</v>
      </c>
      <c r="D8" s="170" t="s">
        <v>326</v>
      </c>
      <c r="E8" s="171" t="s">
        <v>139</v>
      </c>
      <c r="F8" s="170" t="s">
        <v>141</v>
      </c>
      <c r="G8" s="171" t="s">
        <v>327</v>
      </c>
      <c r="H8" s="170" t="s">
        <v>135</v>
      </c>
      <c r="I8" s="171" t="s">
        <v>143</v>
      </c>
      <c r="J8" s="1484"/>
    </row>
    <row r="9" spans="1:10">
      <c r="A9" s="152" t="s">
        <v>102</v>
      </c>
      <c r="B9" s="1453" t="e">
        <f>Tabel3A[[#Totals],[Afnameklanten  op TRHS (∑)]]</f>
        <v>#DIV/0!</v>
      </c>
      <c r="C9" s="1459" t="e">
        <f>INDEX(Tabel3A[Afnameklanten  op TRHS (∑)],1)</f>
        <v>#DIV/0!</v>
      </c>
      <c r="D9" s="1467" t="e">
        <f>'Max Afname TRHS'!$AA$41/SUM('Max Afname TRHS'!$O$41:$P$41)</f>
        <v>#DIV/0!</v>
      </c>
      <c r="E9" s="1469" t="e">
        <f>$D9*$C9</f>
        <v>#DIV/0!</v>
      </c>
      <c r="F9" s="1457">
        <f>PROCENT_VERHOGING_NA_MAX-1</f>
        <v>0</v>
      </c>
      <c r="G9" s="1459" t="e">
        <f>$F9*$C9</f>
        <v>#DIV/0!</v>
      </c>
      <c r="H9" s="1453" t="e">
        <f>SUM($C9,-$E9,$G9)</f>
        <v>#DIV/0!</v>
      </c>
      <c r="I9" s="1437" t="e">
        <f>$H9/$C9</f>
        <v>#DIV/0!</v>
      </c>
      <c r="J9" s="1440" t="s">
        <v>337</v>
      </c>
    </row>
    <row r="10" spans="1:10">
      <c r="A10" s="173" t="s">
        <v>132</v>
      </c>
      <c r="B10" s="1454"/>
      <c r="C10" s="1460"/>
      <c r="D10" s="1468"/>
      <c r="E10" s="1460"/>
      <c r="F10" s="1458"/>
      <c r="G10" s="1460"/>
      <c r="H10" s="1454"/>
      <c r="I10" s="1445"/>
      <c r="J10" s="1443"/>
    </row>
    <row r="11" spans="1:10">
      <c r="A11" s="153" t="s">
        <v>133</v>
      </c>
      <c r="B11" s="1455" t="e">
        <f>Tabel3A[[#Totals],[Afnameklanten op MS (∑)]]</f>
        <v>#VALUE!</v>
      </c>
      <c r="C11" s="1463" t="e">
        <f>INDEX(Tabel3A[Afnameklanten op MS (∑)],1)</f>
        <v>#VALUE!</v>
      </c>
      <c r="D11" s="1470" t="e">
        <f>'Max Afname MS'!$AA$42/('Max Afname MS'!$O$42+'Max Afname MS'!$P$42)</f>
        <v>#VALUE!</v>
      </c>
      <c r="E11" s="1472" t="e">
        <f>$D11*$C11</f>
        <v>#VALUE!</v>
      </c>
      <c r="F11" s="1461">
        <f>PROCENT_VERHOGING_NA_MAX-1</f>
        <v>0</v>
      </c>
      <c r="G11" s="1463" t="e">
        <f>$F11*$C11</f>
        <v>#VALUE!</v>
      </c>
      <c r="H11" s="1455" t="e">
        <f>SUM($C11,-$E11,$G11)</f>
        <v>#VALUE!</v>
      </c>
      <c r="I11" s="1446" t="e">
        <f>$H11/$C11</f>
        <v>#VALUE!</v>
      </c>
      <c r="J11" s="1444" t="s">
        <v>338</v>
      </c>
    </row>
    <row r="12" spans="1:10">
      <c r="A12" s="153" t="s">
        <v>269</v>
      </c>
      <c r="B12" s="1456"/>
      <c r="C12" s="1464"/>
      <c r="D12" s="1471"/>
      <c r="E12" s="1464"/>
      <c r="F12" s="1462"/>
      <c r="G12" s="1464"/>
      <c r="H12" s="1456"/>
      <c r="I12" s="1438"/>
      <c r="J12" s="1441"/>
    </row>
    <row r="13" spans="1:10">
      <c r="A13" s="153" t="s">
        <v>270</v>
      </c>
      <c r="B13" s="1454"/>
      <c r="C13" s="1460"/>
      <c r="D13" s="1468"/>
      <c r="E13" s="1460"/>
      <c r="F13" s="1458"/>
      <c r="G13" s="1460"/>
      <c r="H13" s="1454"/>
      <c r="I13" s="1445"/>
      <c r="J13" s="1443"/>
    </row>
    <row r="14" spans="1:10">
      <c r="A14" s="153" t="s">
        <v>103</v>
      </c>
      <c r="B14" s="93" t="e">
        <f>Tabel3A[[#Totals],[Afnameklanten op TRLS (∑)]]</f>
        <v>#VALUE!</v>
      </c>
      <c r="C14" s="94" t="e">
        <f>INDEX(Tabel3A[Afnameklanten op TRLS (∑)],1)</f>
        <v>#VALUE!</v>
      </c>
      <c r="D14" s="371" t="e">
        <f>'Max Afname TRLS'!$AA$40/('Max Afname TRLS'!$O$40+'Max Afname TRLS'!$P$40)</f>
        <v>#VALUE!</v>
      </c>
      <c r="E14" s="367" t="e">
        <f>$D14*$C14</f>
        <v>#VALUE!</v>
      </c>
      <c r="F14" s="368">
        <f>PROCENT_VERHOGING_NA_MAX-1</f>
        <v>0</v>
      </c>
      <c r="G14" s="94" t="e">
        <f>$F14*$C14</f>
        <v>#VALUE!</v>
      </c>
      <c r="H14" s="93" t="e">
        <f>SUM($C14,-$E14,$G14)</f>
        <v>#VALUE!</v>
      </c>
      <c r="I14" s="587" t="e">
        <f>$H14/$C14</f>
        <v>#VALUE!</v>
      </c>
      <c r="J14" s="375" t="s">
        <v>339</v>
      </c>
    </row>
    <row r="15" spans="1:10">
      <c r="A15" s="153" t="s">
        <v>119</v>
      </c>
      <c r="B15" s="1455" t="e">
        <f>Tabel3A[[#Totals],[Afnameklanten op LS met piekmeting (∑)]]</f>
        <v>#DIV/0!</v>
      </c>
      <c r="C15" s="1463" t="e">
        <f>INDEX(Tabel3A[Afnameklanten op LS met piekmeting (∑)],1)</f>
        <v>#DIV/0!</v>
      </c>
      <c r="D15" s="1470" t="e">
        <f>'Max Afname LS'!$T$40/('Max Afname LS'!$K$40+'Max Afname LS'!$L$40)</f>
        <v>#DIV/0!</v>
      </c>
      <c r="E15" s="1472" t="e">
        <f>$D15*$C15</f>
        <v>#DIV/0!</v>
      </c>
      <c r="F15" s="1461">
        <f>PROCENT_VERHOGING_NA_MAX-1</f>
        <v>0</v>
      </c>
      <c r="G15" s="1463" t="e">
        <f>$F15*$C15</f>
        <v>#DIV/0!</v>
      </c>
      <c r="H15" s="1455" t="e">
        <f>SUM($C15,-$E15,$G15)</f>
        <v>#DIV/0!</v>
      </c>
      <c r="I15" s="1446" t="e">
        <f>$H15/$C15</f>
        <v>#DIV/0!</v>
      </c>
      <c r="J15" s="1444" t="s">
        <v>340</v>
      </c>
    </row>
    <row r="16" spans="1:10">
      <c r="A16" s="154" t="s">
        <v>547</v>
      </c>
      <c r="B16" s="1454"/>
      <c r="C16" s="1460"/>
      <c r="D16" s="1468"/>
      <c r="E16" s="1460">
        <f t="shared" ref="E16" si="0">$D16*$C16</f>
        <v>0</v>
      </c>
      <c r="F16" s="1458"/>
      <c r="G16" s="1460"/>
      <c r="H16" s="1454"/>
      <c r="I16" s="1445"/>
      <c r="J16" s="1443"/>
    </row>
    <row r="17" spans="1:12">
      <c r="A17" s="153" t="s">
        <v>120</v>
      </c>
      <c r="B17" s="1455" t="e">
        <f>Tabel3A[[#Totals],[Afnameklanten met klassieke/terugdraaiende meter (∑)]]</f>
        <v>#DIV/0!</v>
      </c>
      <c r="C17" s="1463" t="e">
        <f>INDEX(Tabel3A[Afnameklanten met klassieke/terugdraaiende meter (∑)],1)</f>
        <v>#DIV/0!</v>
      </c>
      <c r="D17" s="1473"/>
      <c r="E17" s="1476"/>
      <c r="F17" s="1461">
        <f>PROCENT_VERHOGING_NA_MAX-1</f>
        <v>0</v>
      </c>
      <c r="G17" s="1463" t="e">
        <f>$F17*$C17</f>
        <v>#DIV/0!</v>
      </c>
      <c r="H17" s="1455" t="e">
        <f>SUM($C17,-$E17,$G17)</f>
        <v>#DIV/0!</v>
      </c>
      <c r="I17" s="1446" t="e">
        <f>$H17/$C17</f>
        <v>#DIV/0!</v>
      </c>
      <c r="J17" s="376"/>
    </row>
    <row r="18" spans="1:12">
      <c r="A18" s="153" t="s">
        <v>548</v>
      </c>
      <c r="B18" s="1456"/>
      <c r="C18" s="1464"/>
      <c r="D18" s="1474"/>
      <c r="E18" s="1477"/>
      <c r="F18" s="1462"/>
      <c r="G18" s="1464"/>
      <c r="H18" s="1456"/>
      <c r="I18" s="1438"/>
      <c r="J18" s="376"/>
    </row>
    <row r="19" spans="1:12" ht="15" thickBot="1">
      <c r="A19" s="153" t="s">
        <v>121</v>
      </c>
      <c r="B19" s="1454"/>
      <c r="C19" s="1460"/>
      <c r="D19" s="1475"/>
      <c r="E19" s="1478"/>
      <c r="F19" s="1458"/>
      <c r="G19" s="1460"/>
      <c r="H19" s="1454"/>
      <c r="I19" s="1445"/>
      <c r="J19" s="376"/>
    </row>
    <row r="20" spans="1:12" ht="15" thickBot="1">
      <c r="A20" s="169" t="s">
        <v>207</v>
      </c>
      <c r="B20" s="100" t="e">
        <f>SUM(B$9:B$19)</f>
        <v>#DIV/0!</v>
      </c>
      <c r="C20" s="102" t="e">
        <f>SUM(C$9:C$19)</f>
        <v>#DIV/0!</v>
      </c>
      <c r="D20" s="372"/>
      <c r="E20" s="102" t="e">
        <f>SUM(E$9:E$19)</f>
        <v>#DIV/0!</v>
      </c>
      <c r="F20" s="369">
        <f>PROCENT_VERHOGING_NA_MAX-1</f>
        <v>0</v>
      </c>
      <c r="G20" s="102" t="e">
        <f>SUM(G$9:G$19)</f>
        <v>#DIV/0!</v>
      </c>
      <c r="H20" s="100" t="e">
        <f>SUM(H$9:H$19)</f>
        <v>#DIV/0!</v>
      </c>
      <c r="I20" s="588" t="e">
        <f>$H20/$C20</f>
        <v>#DIV/0!</v>
      </c>
      <c r="J20" s="377"/>
      <c r="K20" s="136"/>
      <c r="L20" s="136"/>
    </row>
    <row r="21" spans="1:12">
      <c r="A21" s="177" t="s">
        <v>209</v>
      </c>
      <c r="B21" s="1453" t="e">
        <f>Tabel3A[[#Totals],[Injectieklanten (∑)]]</f>
        <v>#VALUE!</v>
      </c>
      <c r="C21" s="1459" t="e">
        <f>INDEX(Tabel3A[Injectieklanten (∑)],1)</f>
        <v>#VALUE!</v>
      </c>
      <c r="D21" s="1467" t="e">
        <f>'Max Injectie'!$J$38/'Max Injectie'!$F$38</f>
        <v>#VALUE!</v>
      </c>
      <c r="E21" s="1469" t="e">
        <f>$D21*$C21</f>
        <v>#VALUE!</v>
      </c>
      <c r="F21" s="1447"/>
      <c r="G21" s="1450"/>
      <c r="H21" s="1453" t="e">
        <f>SUM($C21,-$E21)</f>
        <v>#VALUE!</v>
      </c>
      <c r="I21" s="1437" t="e">
        <f>$H21/$C21</f>
        <v>#VALUE!</v>
      </c>
      <c r="J21" s="1440" t="s">
        <v>145</v>
      </c>
      <c r="K21" s="136"/>
      <c r="L21" s="136"/>
    </row>
    <row r="22" spans="1:12">
      <c r="A22" s="177" t="s">
        <v>267</v>
      </c>
      <c r="B22" s="1456"/>
      <c r="C22" s="1464"/>
      <c r="D22" s="1471"/>
      <c r="E22" s="1464"/>
      <c r="F22" s="1448"/>
      <c r="G22" s="1451"/>
      <c r="H22" s="1456"/>
      <c r="I22" s="1438"/>
      <c r="J22" s="1441"/>
      <c r="K22" s="136"/>
      <c r="L22" s="136"/>
    </row>
    <row r="23" spans="1:12">
      <c r="A23" s="153" t="s">
        <v>271</v>
      </c>
      <c r="B23" s="1456"/>
      <c r="C23" s="1464"/>
      <c r="D23" s="1471"/>
      <c r="E23" s="1464"/>
      <c r="F23" s="1448"/>
      <c r="G23" s="1451"/>
      <c r="H23" s="1456"/>
      <c r="I23" s="1438"/>
      <c r="J23" s="1441"/>
      <c r="K23" s="136"/>
      <c r="L23" s="136"/>
    </row>
    <row r="24" spans="1:12">
      <c r="A24" s="153" t="s">
        <v>104</v>
      </c>
      <c r="B24" s="1456"/>
      <c r="C24" s="1464"/>
      <c r="D24" s="1471"/>
      <c r="E24" s="1464"/>
      <c r="F24" s="1448"/>
      <c r="G24" s="1451"/>
      <c r="H24" s="1456"/>
      <c r="I24" s="1438"/>
      <c r="J24" s="1441"/>
      <c r="K24" s="136"/>
      <c r="L24" s="136"/>
    </row>
    <row r="25" spans="1:12" ht="15" thickBot="1">
      <c r="A25" s="154" t="s">
        <v>105</v>
      </c>
      <c r="B25" s="1465"/>
      <c r="C25" s="1466"/>
      <c r="D25" s="1479"/>
      <c r="E25" s="1466"/>
      <c r="F25" s="1449"/>
      <c r="G25" s="1452"/>
      <c r="H25" s="1465"/>
      <c r="I25" s="1439"/>
      <c r="J25" s="1442"/>
      <c r="K25" s="136"/>
      <c r="L25" s="136"/>
    </row>
    <row r="26" spans="1:12" ht="15" thickBot="1">
      <c r="A26" s="169" t="s">
        <v>206</v>
      </c>
      <c r="B26" s="100" t="e">
        <f>SUM(B$21:B$25)</f>
        <v>#VALUE!</v>
      </c>
      <c r="C26" s="102" t="e">
        <f>SUM(C$21:C$25)</f>
        <v>#VALUE!</v>
      </c>
      <c r="D26" s="372"/>
      <c r="E26" s="102" t="e">
        <f>SUM(E$21:E$25)</f>
        <v>#VALUE!</v>
      </c>
      <c r="F26" s="370"/>
      <c r="G26" s="374"/>
      <c r="H26" s="100" t="e">
        <f>SUM(H$21:H$25)</f>
        <v>#VALUE!</v>
      </c>
      <c r="I26" s="588" t="e">
        <f>$H26/$C26</f>
        <v>#VALUE!</v>
      </c>
      <c r="J26" s="377"/>
      <c r="K26" s="136"/>
      <c r="L26" s="136"/>
    </row>
    <row r="27" spans="1:12" ht="15" thickBot="1">
      <c r="A27" s="178" t="s">
        <v>208</v>
      </c>
      <c r="B27" s="597" t="e">
        <f>SUM(B$20,B$26)</f>
        <v>#DIV/0!</v>
      </c>
      <c r="C27" s="598" t="e">
        <f>SUM(C$20,C$26)</f>
        <v>#DIV/0!</v>
      </c>
      <c r="D27" s="599"/>
      <c r="E27" s="598" t="e">
        <f>SUM(E$20,E$26)</f>
        <v>#DIV/0!</v>
      </c>
      <c r="F27" s="373"/>
      <c r="G27" s="614" t="e">
        <f>SUM(G$20,G$26)</f>
        <v>#DIV/0!</v>
      </c>
      <c r="H27" s="597" t="e">
        <f>SUM(H$20,H$26)</f>
        <v>#DIV/0!</v>
      </c>
      <c r="I27" s="589" t="e">
        <f>$H27/$C27</f>
        <v>#DIV/0!</v>
      </c>
      <c r="J27" s="378"/>
      <c r="K27" s="136"/>
      <c r="L27" s="136"/>
    </row>
    <row r="28" spans="1:12">
      <c r="K28" s="136"/>
      <c r="L28" s="136"/>
    </row>
    <row r="29" spans="1:12">
      <c r="B29" s="260"/>
      <c r="K29" s="136"/>
      <c r="L29" s="136"/>
    </row>
    <row r="30" spans="1:12" ht="20.25" customHeight="1">
      <c r="K30" s="136"/>
      <c r="L30" s="136"/>
    </row>
    <row r="31" spans="1:12">
      <c r="E31" s="158"/>
      <c r="F31" s="133"/>
      <c r="G31" s="133"/>
      <c r="H31" s="159"/>
      <c r="K31" s="136"/>
      <c r="L31" s="136"/>
    </row>
    <row r="32" spans="1:12" ht="19" thickBot="1">
      <c r="E32" s="160"/>
      <c r="F32" s="1480" t="s">
        <v>144</v>
      </c>
      <c r="G32" s="1480"/>
      <c r="H32" s="162"/>
      <c r="K32" s="136"/>
      <c r="L32" s="136"/>
    </row>
    <row r="33" spans="5:12" ht="15" thickBot="1">
      <c r="E33" s="160"/>
      <c r="F33" s="161"/>
      <c r="G33" s="161"/>
      <c r="H33" s="162"/>
      <c r="K33" s="136"/>
      <c r="L33" s="136"/>
    </row>
    <row r="34" spans="5:12" ht="15" thickBot="1">
      <c r="E34" s="160"/>
      <c r="F34" s="161" t="s">
        <v>212</v>
      </c>
      <c r="G34" s="768">
        <v>1</v>
      </c>
      <c r="H34" s="162"/>
      <c r="K34" s="136"/>
      <c r="L34" s="136"/>
    </row>
    <row r="35" spans="5:12" ht="15" thickBot="1">
      <c r="E35" s="160"/>
      <c r="F35" s="161"/>
      <c r="G35" s="161"/>
      <c r="H35" s="162"/>
      <c r="K35" s="136"/>
      <c r="L35" s="136"/>
    </row>
    <row r="36" spans="5:12" ht="15" thickBot="1">
      <c r="E36" s="160"/>
      <c r="F36" s="161" t="s">
        <v>210</v>
      </c>
      <c r="G36" s="767" t="e">
        <f>$I$27</f>
        <v>#DIV/0!</v>
      </c>
      <c r="H36" s="162" t="s">
        <v>211</v>
      </c>
      <c r="K36" s="136"/>
      <c r="L36" s="136"/>
    </row>
    <row r="37" spans="5:12">
      <c r="E37" s="165"/>
      <c r="F37" s="166"/>
      <c r="G37" s="166"/>
      <c r="H37" s="167"/>
      <c r="L37" s="136"/>
    </row>
    <row r="38" spans="5:12">
      <c r="L38" s="136"/>
    </row>
    <row r="39" spans="5:12">
      <c r="L39" s="136"/>
    </row>
    <row r="40" spans="5:12">
      <c r="L40" s="136"/>
    </row>
  </sheetData>
  <sheetProtection algorithmName="SHA-512" hashValue="89Vvp7W2EHxpdS4Bx3XsilxR2+0b22/FOkVNn1Pj8osbGZJLELgrm1ky8OUroOdc0EabJi3x9bCNLhzQ1ku/1Q==" saltValue="zAZWdoGuRa4FYP0jT/M1vQ==" spinCount="100000" sheet="1" objects="1" scenarios="1"/>
  <mergeCells count="53">
    <mergeCell ref="A1:J1"/>
    <mergeCell ref="E4:F4"/>
    <mergeCell ref="F17:F19"/>
    <mergeCell ref="G17:G19"/>
    <mergeCell ref="I17:I19"/>
    <mergeCell ref="F32:G32"/>
    <mergeCell ref="A7:A8"/>
    <mergeCell ref="J7:J8"/>
    <mergeCell ref="B7:C7"/>
    <mergeCell ref="F7:G7"/>
    <mergeCell ref="H7:I7"/>
    <mergeCell ref="D7:E7"/>
    <mergeCell ref="B9:B10"/>
    <mergeCell ref="C9:C10"/>
    <mergeCell ref="B11:B13"/>
    <mergeCell ref="C11:C13"/>
    <mergeCell ref="B15:B16"/>
    <mergeCell ref="C15:C16"/>
    <mergeCell ref="B17:B19"/>
    <mergeCell ref="C17:C19"/>
    <mergeCell ref="B21:B25"/>
    <mergeCell ref="C21:C25"/>
    <mergeCell ref="D9:D10"/>
    <mergeCell ref="E9:E10"/>
    <mergeCell ref="D11:D13"/>
    <mergeCell ref="E11:E13"/>
    <mergeCell ref="D15:D16"/>
    <mergeCell ref="E15:E16"/>
    <mergeCell ref="D17:D19"/>
    <mergeCell ref="E17:E19"/>
    <mergeCell ref="D21:D25"/>
    <mergeCell ref="E21:E25"/>
    <mergeCell ref="F21:F25"/>
    <mergeCell ref="G21:G25"/>
    <mergeCell ref="H9:H10"/>
    <mergeCell ref="H17:H19"/>
    <mergeCell ref="F9:F10"/>
    <mergeCell ref="G9:G10"/>
    <mergeCell ref="F11:F13"/>
    <mergeCell ref="G11:G13"/>
    <mergeCell ref="F15:F16"/>
    <mergeCell ref="G15:G16"/>
    <mergeCell ref="H21:H25"/>
    <mergeCell ref="H11:H13"/>
    <mergeCell ref="H15:H16"/>
    <mergeCell ref="I21:I25"/>
    <mergeCell ref="J21:J25"/>
    <mergeCell ref="J9:J10"/>
    <mergeCell ref="J11:J13"/>
    <mergeCell ref="J15:J16"/>
    <mergeCell ref="I9:I10"/>
    <mergeCell ref="I11:I13"/>
    <mergeCell ref="I15:I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Blad20"/>
  <dimension ref="A1:AA41"/>
  <sheetViews>
    <sheetView workbookViewId="0">
      <selection activeCell="D4" sqref="D4:E4"/>
    </sheetView>
  </sheetViews>
  <sheetFormatPr defaultColWidth="20.7265625" defaultRowHeight="14.5"/>
  <cols>
    <col min="1" max="1" width="20.7265625" style="591"/>
    <col min="2" max="2" width="25.81640625" style="591" customWidth="1"/>
    <col min="3" max="24" width="20.7265625" style="591"/>
    <col min="25" max="25" width="5.7265625" style="591" customWidth="1"/>
    <col min="26" max="16384" width="20.7265625" style="591"/>
  </cols>
  <sheetData>
    <row r="1" spans="1:24" ht="30" customHeight="1" thickBot="1">
      <c r="A1" s="1425" t="s">
        <v>348</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1"/>
      <c r="C2" s="1"/>
      <c r="D2" s="1"/>
      <c r="E2" s="1"/>
      <c r="F2" s="1"/>
      <c r="G2" s="1"/>
      <c r="H2" s="1"/>
      <c r="I2" s="1"/>
      <c r="J2" s="1"/>
      <c r="K2" s="1"/>
      <c r="L2" s="1"/>
      <c r="M2" s="1"/>
      <c r="N2" s="1"/>
      <c r="O2" s="1"/>
      <c r="P2" s="1"/>
    </row>
    <row r="3" spans="1:24" ht="15" thickBot="1">
      <c r="B3" s="1"/>
      <c r="C3" s="1"/>
      <c r="D3" s="1"/>
      <c r="E3" s="1"/>
      <c r="F3" s="1"/>
      <c r="G3" s="1"/>
      <c r="H3" s="1"/>
      <c r="I3" s="1"/>
      <c r="J3" s="1"/>
      <c r="K3" s="1"/>
      <c r="L3" s="1"/>
      <c r="M3" s="1"/>
      <c r="N3" s="1"/>
      <c r="O3" s="1"/>
      <c r="P3" s="1"/>
    </row>
    <row r="4" spans="1:24" ht="15" thickBot="1">
      <c r="B4" s="129" t="s">
        <v>6</v>
      </c>
      <c r="C4" s="168"/>
      <c r="D4" s="1420" t="str">
        <f>DNB</f>
        <v>Naam distributienetbeheerder</v>
      </c>
      <c r="E4" s="1422"/>
      <c r="K4" s="168"/>
      <c r="L4" s="168"/>
      <c r="O4" s="1"/>
      <c r="P4" s="1"/>
    </row>
    <row r="6" spans="1:24" ht="15" thickBot="1"/>
    <row r="7" spans="1:24" ht="16.5">
      <c r="M7" s="1509" t="s">
        <v>152</v>
      </c>
      <c r="N7" s="210" t="s">
        <v>148</v>
      </c>
      <c r="O7" s="397" t="e">
        <f>INDEX(Tabel3B[Afnameklanten op TRHS (∑)],1)</f>
        <v>#DIV/0!</v>
      </c>
      <c r="P7" s="398"/>
      <c r="Q7" s="399" t="e">
        <f>$O$7*$Q$16</f>
        <v>#DIV/0!</v>
      </c>
      <c r="R7" s="398"/>
      <c r="S7" s="398"/>
      <c r="T7" s="398"/>
      <c r="U7" s="400"/>
      <c r="V7" s="400"/>
      <c r="W7" s="401"/>
      <c r="X7" s="402"/>
    </row>
    <row r="8" spans="1:24" ht="16.5">
      <c r="M8" s="1510"/>
      <c r="N8" s="211" t="s">
        <v>149</v>
      </c>
      <c r="O8" s="403" t="e">
        <f>INDEX(Tabel3B[Afnameklanten op TRHS (∑)],2)</f>
        <v>#DIV/0!</v>
      </c>
      <c r="P8" s="404"/>
      <c r="Q8" s="405" t="e">
        <f>$O$8*$Q$16</f>
        <v>#DIV/0!</v>
      </c>
      <c r="R8" s="404"/>
      <c r="S8" s="404"/>
      <c r="T8" s="404"/>
      <c r="U8" s="406"/>
      <c r="V8" s="406"/>
      <c r="W8" s="407"/>
      <c r="X8" s="408"/>
    </row>
    <row r="9" spans="1:24" ht="16.5">
      <c r="M9" s="1510"/>
      <c r="N9" s="211" t="s">
        <v>150</v>
      </c>
      <c r="O9" s="407"/>
      <c r="P9" s="405" t="e">
        <f>INDEX(Tabel3B[Afnameklanten op TRHS (∑)],3)</f>
        <v>#DIV/0!</v>
      </c>
      <c r="Q9" s="404"/>
      <c r="R9" s="405" t="e">
        <f>$P$9*$Q$16</f>
        <v>#DIV/0!</v>
      </c>
      <c r="S9" s="404"/>
      <c r="T9" s="404"/>
      <c r="U9" s="406"/>
      <c r="V9" s="406"/>
      <c r="W9" s="407"/>
      <c r="X9" s="408"/>
    </row>
    <row r="10" spans="1:24" ht="16.5">
      <c r="M10" s="1510"/>
      <c r="N10" s="211" t="s">
        <v>151</v>
      </c>
      <c r="O10" s="409"/>
      <c r="P10" s="410"/>
      <c r="Q10" s="410"/>
      <c r="R10" s="410"/>
      <c r="S10" s="411" t="e">
        <f>INDEX(Tabel3B[Afnameklanten op TRHS (∑)],15)</f>
        <v>#VALUE!</v>
      </c>
      <c r="T10" s="411" t="e">
        <f>INDEX(Tabel3B[Afnameklanten op TRHS (∑)],17)</f>
        <v>#VALUE!</v>
      </c>
      <c r="U10" s="412" t="e">
        <f>INDEX(Tabel3B[Afnameklanten op TRHS (∑)],19)</f>
        <v>#DIV/0!</v>
      </c>
      <c r="V10" s="412" t="e">
        <f>INDEX(Tabel3B[Afnameklanten op TRHS (∑)],20)</f>
        <v>#DIV/0!</v>
      </c>
      <c r="W10" s="407"/>
      <c r="X10" s="408"/>
    </row>
    <row r="11" spans="1:24" ht="16.5">
      <c r="M11" s="1510"/>
      <c r="N11" s="211" t="s">
        <v>218</v>
      </c>
      <c r="O11" s="409"/>
      <c r="P11" s="410"/>
      <c r="Q11" s="410"/>
      <c r="R11" s="410"/>
      <c r="S11" s="411">
        <f>INDEX(Tabel3B[Afnameklanten op TRHS (∑)],16)</f>
        <v>0</v>
      </c>
      <c r="T11" s="410"/>
      <c r="U11" s="413"/>
      <c r="V11" s="413"/>
      <c r="W11" s="407"/>
      <c r="X11" s="408"/>
    </row>
    <row r="12" spans="1:24">
      <c r="M12" s="1510"/>
      <c r="N12" s="392" t="s">
        <v>7</v>
      </c>
      <c r="O12" s="407"/>
      <c r="P12" s="404"/>
      <c r="Q12" s="404"/>
      <c r="R12" s="404"/>
      <c r="S12" s="404"/>
      <c r="T12" s="404"/>
      <c r="U12" s="406"/>
      <c r="V12" s="414"/>
      <c r="W12" s="93" t="e">
        <f>INDEX(Tabel3B[Afnameklanten op TRHS (∑)],9)</f>
        <v>#DIV/0!</v>
      </c>
      <c r="X12" s="408"/>
    </row>
    <row r="13" spans="1:24">
      <c r="M13" s="1510"/>
      <c r="N13" s="393" t="s">
        <v>8</v>
      </c>
      <c r="O13" s="407"/>
      <c r="P13" s="404"/>
      <c r="Q13" s="404"/>
      <c r="R13" s="404"/>
      <c r="S13" s="404"/>
      <c r="T13" s="404"/>
      <c r="U13" s="406"/>
      <c r="V13" s="414"/>
      <c r="W13" s="93" t="e">
        <f>INDEX(Tabel3B[Afnameklanten op TRHS (∑)],10)</f>
        <v>#DIV/0!</v>
      </c>
      <c r="X13" s="408"/>
    </row>
    <row r="14" spans="1:24" ht="15" thickBot="1">
      <c r="M14" s="1510"/>
      <c r="N14" s="394" t="s">
        <v>197</v>
      </c>
      <c r="O14" s="407"/>
      <c r="P14" s="404"/>
      <c r="Q14" s="404"/>
      <c r="R14" s="404"/>
      <c r="S14" s="404"/>
      <c r="T14" s="404"/>
      <c r="U14" s="406"/>
      <c r="V14" s="414"/>
      <c r="W14" s="407"/>
      <c r="X14" s="415" t="e">
        <f>INDEX(Tabel3B[Afnameklanten op TRHS (∑)],8)</f>
        <v>#VALUE!</v>
      </c>
    </row>
    <row r="15" spans="1:24" ht="30" customHeight="1" thickBot="1">
      <c r="M15" s="1510"/>
      <c r="N15" s="212" t="s">
        <v>130</v>
      </c>
      <c r="O15" s="1500">
        <v>0</v>
      </c>
      <c r="P15" s="1501"/>
      <c r="Q15" s="1501"/>
      <c r="R15" s="1501"/>
      <c r="S15" s="1501"/>
      <c r="T15" s="1501"/>
      <c r="U15" s="1502"/>
      <c r="V15" s="1502"/>
      <c r="W15" s="395"/>
      <c r="X15" s="396"/>
    </row>
    <row r="16" spans="1:24" ht="30" customHeight="1" thickBot="1">
      <c r="M16" s="1511"/>
      <c r="N16" s="213" t="s">
        <v>136</v>
      </c>
      <c r="O16" s="206"/>
      <c r="P16" s="207"/>
      <c r="Q16" s="1499">
        <f>PROCENT_VERHOGING_NA_MAX</f>
        <v>1</v>
      </c>
      <c r="R16" s="1499"/>
      <c r="S16" s="207"/>
      <c r="T16" s="207"/>
      <c r="U16" s="389"/>
      <c r="V16" s="389"/>
      <c r="W16" s="208"/>
      <c r="X16" s="209"/>
    </row>
    <row r="17" spans="1:27" ht="15" thickBot="1"/>
    <row r="18" spans="1:27" ht="30" customHeight="1" thickBot="1">
      <c r="O18" s="1498" t="s">
        <v>137</v>
      </c>
      <c r="P18" s="1512"/>
      <c r="Q18" s="1487" t="s">
        <v>140</v>
      </c>
      <c r="R18" s="1488"/>
      <c r="S18" s="1503" t="s">
        <v>85</v>
      </c>
      <c r="T18" s="1505" t="s">
        <v>9</v>
      </c>
      <c r="U18" s="1517" t="s">
        <v>562</v>
      </c>
      <c r="V18" s="1507" t="s">
        <v>561</v>
      </c>
      <c r="W18" s="1513" t="s">
        <v>84</v>
      </c>
      <c r="X18" s="1515" t="s">
        <v>13</v>
      </c>
      <c r="Z18" s="1498" t="s">
        <v>138</v>
      </c>
      <c r="AA18" s="1483"/>
    </row>
    <row r="19" spans="1:27" ht="17" thickBot="1">
      <c r="A19" s="602" t="s">
        <v>146</v>
      </c>
      <c r="B19" s="183" t="s">
        <v>107</v>
      </c>
      <c r="C19" s="581" t="s">
        <v>214</v>
      </c>
      <c r="D19" s="184" t="s">
        <v>563</v>
      </c>
      <c r="E19" s="185" t="s">
        <v>25</v>
      </c>
      <c r="F19" s="186" t="s">
        <v>213</v>
      </c>
      <c r="G19" s="186" t="s">
        <v>149</v>
      </c>
      <c r="H19" s="186" t="s">
        <v>150</v>
      </c>
      <c r="I19" s="186" t="s">
        <v>343</v>
      </c>
      <c r="J19" s="383" t="s">
        <v>344</v>
      </c>
      <c r="K19" s="383" t="s">
        <v>345</v>
      </c>
      <c r="L19" s="383" t="s">
        <v>346</v>
      </c>
      <c r="M19" s="187" t="s">
        <v>347</v>
      </c>
      <c r="O19" s="188" t="s">
        <v>215</v>
      </c>
      <c r="P19" s="87" t="s">
        <v>147</v>
      </c>
      <c r="Q19" s="188" t="s">
        <v>215</v>
      </c>
      <c r="R19" s="87" t="s">
        <v>147</v>
      </c>
      <c r="S19" s="1504"/>
      <c r="T19" s="1506"/>
      <c r="U19" s="1518"/>
      <c r="V19" s="1508"/>
      <c r="W19" s="1514"/>
      <c r="X19" s="1516"/>
      <c r="Z19" s="188" t="s">
        <v>130</v>
      </c>
      <c r="AA19" s="189" t="s">
        <v>131</v>
      </c>
    </row>
    <row r="20" spans="1:27">
      <c r="A20" s="769"/>
      <c r="B20" s="770"/>
      <c r="C20" s="771"/>
      <c r="D20" s="772"/>
      <c r="E20" s="773"/>
      <c r="F20" s="774"/>
      <c r="G20" s="774"/>
      <c r="H20" s="774"/>
      <c r="I20" s="774"/>
      <c r="J20" s="775"/>
      <c r="K20" s="775"/>
      <c r="L20" s="775"/>
      <c r="M20" s="776"/>
      <c r="O20" s="789" t="e">
        <f>$O$7*$F20+$O$8*$G20</f>
        <v>#DIV/0!</v>
      </c>
      <c r="P20" s="790" t="e">
        <f>$P$9*$H20</f>
        <v>#DIV/0!</v>
      </c>
      <c r="Q20" s="791" t="e">
        <f>$Q$7*$F20+$Q$8*$G20</f>
        <v>#DIV/0!</v>
      </c>
      <c r="R20" s="792" t="e">
        <f>$R$9*$H20</f>
        <v>#DIV/0!</v>
      </c>
      <c r="S20" s="793" t="e">
        <f>$S$10*($I20+$J20)+$S$11*$K20</f>
        <v>#VALUE!</v>
      </c>
      <c r="T20" s="794" t="e">
        <f>$T$10*($I20+$J20+$K20)</f>
        <v>#VALUE!</v>
      </c>
      <c r="U20" s="794" t="e">
        <f>$U$10*($I20+$J20+$K20)</f>
        <v>#DIV/0!</v>
      </c>
      <c r="V20" s="795"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#DIV/0!</v>
      </c>
    </row>
    <row r="21" spans="1:27">
      <c r="A21" s="777"/>
      <c r="B21" s="655"/>
      <c r="C21" s="778"/>
      <c r="D21" s="653"/>
      <c r="E21" s="779"/>
      <c r="F21" s="780"/>
      <c r="G21" s="780"/>
      <c r="H21" s="780"/>
      <c r="I21" s="780"/>
      <c r="J21" s="781"/>
      <c r="K21" s="781"/>
      <c r="L21" s="781"/>
      <c r="M21" s="782"/>
      <c r="O21" s="797" t="e">
        <f>$O$7*$F21+$O$8*$G21</f>
        <v>#DIV/0!</v>
      </c>
      <c r="P21" s="798" t="e">
        <f t="shared" ref="P21:P37" si="0">$P$9*$H21</f>
        <v>#DIV/0!</v>
      </c>
      <c r="Q21" s="799" t="e">
        <f t="shared" ref="Q21:Q37" si="1">$Q$7*$F21+$Q$8*$G21</f>
        <v>#DIV/0!</v>
      </c>
      <c r="R21" s="800" t="e">
        <f t="shared" ref="R21:R37" si="2">$R$9*$H21</f>
        <v>#DIV/0!</v>
      </c>
      <c r="S21" s="799" t="e">
        <f t="shared" ref="S21:S37" si="3">$S$10*($I21+$J21)+$S$11*$K21</f>
        <v>#VALUE!</v>
      </c>
      <c r="T21" s="801" t="e">
        <f t="shared" ref="T21:T37" si="4">$T$10*($I21+$J21+$K21)</f>
        <v>#VALUE!</v>
      </c>
      <c r="U21" s="798" t="e">
        <f t="shared" ref="U21:U37" si="5">$U$10*($I21+$J21+$K21)</f>
        <v>#DIV/0!</v>
      </c>
      <c r="V21" s="798" t="e">
        <f t="shared" ref="V21:V37" si="6">$V$10*(($I21+$J21+$K21)-IF($D21="x",0.15*MAX($I21+$J21+$K21-20000,0)+0.05*MAX($I21+$J21+$K21-50000,0)+0.05*MAX($I21+$J21+$K21-1000000,0)+0.2*MAX($I21+$J21+$K21-25000000,0),0))</f>
        <v>#DIV/0!</v>
      </c>
      <c r="W21" s="799" t="e">
        <f t="shared" ref="W21:W37" si="7">INDEX($W$12:$W$13,MATCH($E21,$N$12:$N$13,0))</f>
        <v>#N/A</v>
      </c>
      <c r="X21" s="802" t="e">
        <f t="shared" ref="X21:X37" si="8">$X$14*($L21+$M21)</f>
        <v>#VALUE!</v>
      </c>
      <c r="Z21" s="803">
        <f t="shared" ref="Z21:Z37" si="9">$O$15*($I21+$J21+$K21)</f>
        <v>0</v>
      </c>
      <c r="AA21" s="802" t="e">
        <f>IF($C21="x",0,MAX(SUM($Q21,$S21:$V21)-$Z21,0))</f>
        <v>#DIV/0!</v>
      </c>
    </row>
    <row r="22" spans="1:27">
      <c r="A22" s="777"/>
      <c r="B22" s="655"/>
      <c r="C22" s="778"/>
      <c r="D22" s="653"/>
      <c r="E22" s="779"/>
      <c r="F22" s="780"/>
      <c r="G22" s="780"/>
      <c r="H22" s="780"/>
      <c r="I22" s="780"/>
      <c r="J22" s="781"/>
      <c r="K22" s="781"/>
      <c r="L22" s="781"/>
      <c r="M22" s="782"/>
      <c r="O22" s="797" t="e">
        <f>$O$7*$F22+$O$8*$G22</f>
        <v>#DIV/0!</v>
      </c>
      <c r="P22" s="798" t="e">
        <f t="shared" si="0"/>
        <v>#DIV/0!</v>
      </c>
      <c r="Q22" s="799" t="e">
        <f t="shared" si="1"/>
        <v>#DIV/0!</v>
      </c>
      <c r="R22" s="800" t="e">
        <f t="shared" si="2"/>
        <v>#DIV/0!</v>
      </c>
      <c r="S22" s="799" t="e">
        <f t="shared" si="3"/>
        <v>#VALUE!</v>
      </c>
      <c r="T22" s="801" t="e">
        <f t="shared" si="4"/>
        <v>#VALUE!</v>
      </c>
      <c r="U22" s="798" t="e">
        <f t="shared" si="5"/>
        <v>#DIV/0!</v>
      </c>
      <c r="V22" s="798" t="e">
        <f t="shared" si="6"/>
        <v>#DIV/0!</v>
      </c>
      <c r="W22" s="799" t="e">
        <f t="shared" si="7"/>
        <v>#N/A</v>
      </c>
      <c r="X22" s="802" t="e">
        <f t="shared" si="8"/>
        <v>#VALUE!</v>
      </c>
      <c r="Z22" s="803">
        <f t="shared" si="9"/>
        <v>0</v>
      </c>
      <c r="AA22" s="802" t="e">
        <f>IF($C22="x",0,MAX(SUM($Q22,$S22:$V22)-$Z22,0))</f>
        <v>#DIV/0!</v>
      </c>
    </row>
    <row r="23" spans="1:27">
      <c r="A23" s="777"/>
      <c r="B23" s="655"/>
      <c r="C23" s="778"/>
      <c r="D23" s="653"/>
      <c r="E23" s="779"/>
      <c r="F23" s="780"/>
      <c r="G23" s="780"/>
      <c r="H23" s="780"/>
      <c r="I23" s="780"/>
      <c r="J23" s="781"/>
      <c r="K23" s="781"/>
      <c r="L23" s="781"/>
      <c r="M23" s="782"/>
      <c r="O23" s="797" t="e">
        <f>$O$7*$F23+$O$8*$G23</f>
        <v>#DIV/0!</v>
      </c>
      <c r="P23" s="798" t="e">
        <f t="shared" si="0"/>
        <v>#DIV/0!</v>
      </c>
      <c r="Q23" s="799" t="e">
        <f t="shared" si="1"/>
        <v>#DIV/0!</v>
      </c>
      <c r="R23" s="800" t="e">
        <f t="shared" si="2"/>
        <v>#DIV/0!</v>
      </c>
      <c r="S23" s="799" t="e">
        <f t="shared" si="3"/>
        <v>#VALUE!</v>
      </c>
      <c r="T23" s="801" t="e">
        <f t="shared" si="4"/>
        <v>#VALUE!</v>
      </c>
      <c r="U23" s="798" t="e">
        <f t="shared" si="5"/>
        <v>#DIV/0!</v>
      </c>
      <c r="V23" s="798" t="e">
        <f t="shared" si="6"/>
        <v>#DIV/0!</v>
      </c>
      <c r="W23" s="799" t="e">
        <f t="shared" si="7"/>
        <v>#N/A</v>
      </c>
      <c r="X23" s="802" t="e">
        <f t="shared" si="8"/>
        <v>#VALUE!</v>
      </c>
      <c r="Z23" s="803">
        <f t="shared" si="9"/>
        <v>0</v>
      </c>
      <c r="AA23" s="802" t="e">
        <f>IF($C23="x",0,MAX(SUM($Q23,$S23:$V23)-$Z23,0))</f>
        <v>#DIV/0!</v>
      </c>
    </row>
    <row r="24" spans="1:27">
      <c r="A24" s="777"/>
      <c r="B24" s="655"/>
      <c r="C24" s="778"/>
      <c r="D24" s="653"/>
      <c r="E24" s="779"/>
      <c r="F24" s="780"/>
      <c r="G24" s="780"/>
      <c r="H24" s="780"/>
      <c r="I24" s="780"/>
      <c r="J24" s="781"/>
      <c r="K24" s="781"/>
      <c r="L24" s="781"/>
      <c r="M24" s="782"/>
      <c r="O24" s="803" t="e">
        <f>$O$7*$F24+$O$8*$G24</f>
        <v>#DIV/0!</v>
      </c>
      <c r="P24" s="798" t="e">
        <f t="shared" si="0"/>
        <v>#DIV/0!</v>
      </c>
      <c r="Q24" s="799" t="e">
        <f t="shared" si="1"/>
        <v>#DIV/0!</v>
      </c>
      <c r="R24" s="800" t="e">
        <f t="shared" si="2"/>
        <v>#DIV/0!</v>
      </c>
      <c r="S24" s="799" t="e">
        <f t="shared" si="3"/>
        <v>#VALUE!</v>
      </c>
      <c r="T24" s="801" t="e">
        <f t="shared" si="4"/>
        <v>#VALUE!</v>
      </c>
      <c r="U24" s="798" t="e">
        <f t="shared" si="5"/>
        <v>#DIV/0!</v>
      </c>
      <c r="V24" s="798" t="e">
        <f t="shared" si="6"/>
        <v>#DIV/0!</v>
      </c>
      <c r="W24" s="799" t="e">
        <f t="shared" si="7"/>
        <v>#N/A</v>
      </c>
      <c r="X24" s="802" t="e">
        <f t="shared" si="8"/>
        <v>#VALUE!</v>
      </c>
      <c r="Z24" s="803">
        <f t="shared" si="9"/>
        <v>0</v>
      </c>
      <c r="AA24" s="802" t="e">
        <f>IF($C24="x",0,MAX(SUM($Q24,$S24:$V24)-$Z24,0))</f>
        <v>#DIV/0!</v>
      </c>
    </row>
    <row r="25" spans="1:27">
      <c r="A25" s="777"/>
      <c r="B25" s="655"/>
      <c r="C25" s="778"/>
      <c r="D25" s="653"/>
      <c r="E25" s="779"/>
      <c r="F25" s="780"/>
      <c r="G25" s="780"/>
      <c r="H25" s="780"/>
      <c r="I25" s="780"/>
      <c r="J25" s="781"/>
      <c r="K25" s="781"/>
      <c r="L25" s="781"/>
      <c r="M25" s="782"/>
      <c r="O25" s="803" t="e">
        <f t="shared" ref="O25:O37" si="10">$O$7*$F25+$O$8*$G25</f>
        <v>#DIV/0!</v>
      </c>
      <c r="P25" s="798" t="e">
        <f t="shared" si="0"/>
        <v>#DIV/0!</v>
      </c>
      <c r="Q25" s="799" t="e">
        <f t="shared" si="1"/>
        <v>#DIV/0!</v>
      </c>
      <c r="R25" s="800" t="e">
        <f t="shared" si="2"/>
        <v>#DIV/0!</v>
      </c>
      <c r="S25" s="799" t="e">
        <f t="shared" si="3"/>
        <v>#VALUE!</v>
      </c>
      <c r="T25" s="801" t="e">
        <f t="shared" si="4"/>
        <v>#VALUE!</v>
      </c>
      <c r="U25" s="798" t="e">
        <f t="shared" si="5"/>
        <v>#DIV/0!</v>
      </c>
      <c r="V25" s="798" t="e">
        <f t="shared" si="6"/>
        <v>#DIV/0!</v>
      </c>
      <c r="W25" s="799" t="e">
        <f t="shared" si="7"/>
        <v>#N/A</v>
      </c>
      <c r="X25" s="802" t="e">
        <f t="shared" si="8"/>
        <v>#VALUE!</v>
      </c>
      <c r="Z25" s="803">
        <f t="shared" si="9"/>
        <v>0</v>
      </c>
      <c r="AA25" s="802" t="e">
        <f t="shared" ref="AA25:AA37" si="11">IF($C25="x",0,MAX(SUM($Q25,$S25:$V25)-$Z25,0))</f>
        <v>#DIV/0!</v>
      </c>
    </row>
    <row r="26" spans="1:27">
      <c r="A26" s="777"/>
      <c r="B26" s="655"/>
      <c r="C26" s="778"/>
      <c r="D26" s="653"/>
      <c r="E26" s="779"/>
      <c r="F26" s="780"/>
      <c r="G26" s="780"/>
      <c r="H26" s="780"/>
      <c r="I26" s="780"/>
      <c r="J26" s="781"/>
      <c r="K26" s="781"/>
      <c r="L26" s="781"/>
      <c r="M26" s="782"/>
      <c r="O26" s="803" t="e">
        <f t="shared" si="10"/>
        <v>#DIV/0!</v>
      </c>
      <c r="P26" s="798" t="e">
        <f t="shared" si="0"/>
        <v>#DIV/0!</v>
      </c>
      <c r="Q26" s="799" t="e">
        <f t="shared" si="1"/>
        <v>#DIV/0!</v>
      </c>
      <c r="R26" s="800" t="e">
        <f t="shared" si="2"/>
        <v>#DIV/0!</v>
      </c>
      <c r="S26" s="799" t="e">
        <f t="shared" si="3"/>
        <v>#VALUE!</v>
      </c>
      <c r="T26" s="801" t="e">
        <f t="shared" si="4"/>
        <v>#VALUE!</v>
      </c>
      <c r="U26" s="798" t="e">
        <f t="shared" si="5"/>
        <v>#DIV/0!</v>
      </c>
      <c r="V26" s="798" t="e">
        <f t="shared" si="6"/>
        <v>#DIV/0!</v>
      </c>
      <c r="W26" s="799" t="e">
        <f t="shared" si="7"/>
        <v>#N/A</v>
      </c>
      <c r="X26" s="802" t="e">
        <f t="shared" si="8"/>
        <v>#VALUE!</v>
      </c>
      <c r="Z26" s="803">
        <f t="shared" si="9"/>
        <v>0</v>
      </c>
      <c r="AA26" s="802" t="e">
        <f t="shared" si="11"/>
        <v>#DIV/0!</v>
      </c>
    </row>
    <row r="27" spans="1:27">
      <c r="A27" s="777"/>
      <c r="B27" s="655"/>
      <c r="C27" s="778"/>
      <c r="D27" s="653"/>
      <c r="E27" s="779"/>
      <c r="F27" s="780"/>
      <c r="G27" s="780"/>
      <c r="H27" s="780"/>
      <c r="I27" s="780"/>
      <c r="J27" s="781"/>
      <c r="K27" s="781"/>
      <c r="L27" s="781"/>
      <c r="M27" s="782"/>
      <c r="O27" s="803" t="e">
        <f t="shared" si="10"/>
        <v>#DIV/0!</v>
      </c>
      <c r="P27" s="798" t="e">
        <f t="shared" si="0"/>
        <v>#DIV/0!</v>
      </c>
      <c r="Q27" s="799" t="e">
        <f t="shared" si="1"/>
        <v>#DIV/0!</v>
      </c>
      <c r="R27" s="800" t="e">
        <f t="shared" si="2"/>
        <v>#DIV/0!</v>
      </c>
      <c r="S27" s="799" t="e">
        <f t="shared" si="3"/>
        <v>#VALUE!</v>
      </c>
      <c r="T27" s="801" t="e">
        <f t="shared" si="4"/>
        <v>#VALUE!</v>
      </c>
      <c r="U27" s="798" t="e">
        <f t="shared" si="5"/>
        <v>#DIV/0!</v>
      </c>
      <c r="V27" s="798" t="e">
        <f t="shared" si="6"/>
        <v>#DIV/0!</v>
      </c>
      <c r="W27" s="799" t="e">
        <f t="shared" si="7"/>
        <v>#N/A</v>
      </c>
      <c r="X27" s="802" t="e">
        <f t="shared" si="8"/>
        <v>#VALUE!</v>
      </c>
      <c r="Z27" s="803">
        <f t="shared" si="9"/>
        <v>0</v>
      </c>
      <c r="AA27" s="802" t="e">
        <f t="shared" si="11"/>
        <v>#DIV/0!</v>
      </c>
    </row>
    <row r="28" spans="1:27">
      <c r="A28" s="777"/>
      <c r="B28" s="655"/>
      <c r="C28" s="778"/>
      <c r="D28" s="653"/>
      <c r="E28" s="779"/>
      <c r="F28" s="780"/>
      <c r="G28" s="780"/>
      <c r="H28" s="780"/>
      <c r="I28" s="780"/>
      <c r="J28" s="781"/>
      <c r="K28" s="781"/>
      <c r="L28" s="781"/>
      <c r="M28" s="782"/>
      <c r="O28" s="803" t="e">
        <f t="shared" si="10"/>
        <v>#DIV/0!</v>
      </c>
      <c r="P28" s="798" t="e">
        <f t="shared" si="0"/>
        <v>#DIV/0!</v>
      </c>
      <c r="Q28" s="799" t="e">
        <f t="shared" si="1"/>
        <v>#DIV/0!</v>
      </c>
      <c r="R28" s="800" t="e">
        <f t="shared" si="2"/>
        <v>#DIV/0!</v>
      </c>
      <c r="S28" s="799" t="e">
        <f t="shared" si="3"/>
        <v>#VALUE!</v>
      </c>
      <c r="T28" s="801" t="e">
        <f t="shared" si="4"/>
        <v>#VALUE!</v>
      </c>
      <c r="U28" s="798" t="e">
        <f t="shared" si="5"/>
        <v>#DIV/0!</v>
      </c>
      <c r="V28" s="798" t="e">
        <f t="shared" si="6"/>
        <v>#DIV/0!</v>
      </c>
      <c r="W28" s="799" t="e">
        <f t="shared" si="7"/>
        <v>#N/A</v>
      </c>
      <c r="X28" s="802" t="e">
        <f t="shared" si="8"/>
        <v>#VALUE!</v>
      </c>
      <c r="Z28" s="803">
        <f t="shared" si="9"/>
        <v>0</v>
      </c>
      <c r="AA28" s="802" t="e">
        <f t="shared" si="11"/>
        <v>#DIV/0!</v>
      </c>
    </row>
    <row r="29" spans="1:27">
      <c r="A29" s="777"/>
      <c r="B29" s="655"/>
      <c r="C29" s="778"/>
      <c r="D29" s="653"/>
      <c r="E29" s="779"/>
      <c r="F29" s="780"/>
      <c r="G29" s="780"/>
      <c r="H29" s="780"/>
      <c r="I29" s="780"/>
      <c r="J29" s="781"/>
      <c r="K29" s="781"/>
      <c r="L29" s="781"/>
      <c r="M29" s="782"/>
      <c r="O29" s="803" t="e">
        <f t="shared" si="10"/>
        <v>#DIV/0!</v>
      </c>
      <c r="P29" s="798" t="e">
        <f t="shared" si="0"/>
        <v>#DIV/0!</v>
      </c>
      <c r="Q29" s="799" t="e">
        <f t="shared" si="1"/>
        <v>#DIV/0!</v>
      </c>
      <c r="R29" s="800" t="e">
        <f t="shared" si="2"/>
        <v>#DIV/0!</v>
      </c>
      <c r="S29" s="799" t="e">
        <f t="shared" si="3"/>
        <v>#VALUE!</v>
      </c>
      <c r="T29" s="801" t="e">
        <f t="shared" si="4"/>
        <v>#VALUE!</v>
      </c>
      <c r="U29" s="798" t="e">
        <f t="shared" si="5"/>
        <v>#DIV/0!</v>
      </c>
      <c r="V29" s="798" t="e">
        <f t="shared" si="6"/>
        <v>#DIV/0!</v>
      </c>
      <c r="W29" s="799" t="e">
        <f t="shared" si="7"/>
        <v>#N/A</v>
      </c>
      <c r="X29" s="802" t="e">
        <f t="shared" si="8"/>
        <v>#VALUE!</v>
      </c>
      <c r="Z29" s="803">
        <f t="shared" si="9"/>
        <v>0</v>
      </c>
      <c r="AA29" s="802" t="e">
        <f t="shared" si="11"/>
        <v>#DIV/0!</v>
      </c>
    </row>
    <row r="30" spans="1:27">
      <c r="A30" s="777"/>
      <c r="B30" s="655"/>
      <c r="C30" s="778"/>
      <c r="D30" s="653"/>
      <c r="E30" s="779"/>
      <c r="F30" s="780"/>
      <c r="G30" s="780"/>
      <c r="H30" s="780"/>
      <c r="I30" s="780"/>
      <c r="J30" s="781"/>
      <c r="K30" s="781"/>
      <c r="L30" s="781"/>
      <c r="M30" s="782"/>
      <c r="O30" s="803" t="e">
        <f t="shared" si="10"/>
        <v>#DIV/0!</v>
      </c>
      <c r="P30" s="798" t="e">
        <f t="shared" si="0"/>
        <v>#DIV/0!</v>
      </c>
      <c r="Q30" s="799" t="e">
        <f t="shared" si="1"/>
        <v>#DIV/0!</v>
      </c>
      <c r="R30" s="800" t="e">
        <f t="shared" si="2"/>
        <v>#DIV/0!</v>
      </c>
      <c r="S30" s="799" t="e">
        <f t="shared" si="3"/>
        <v>#VALUE!</v>
      </c>
      <c r="T30" s="801" t="e">
        <f t="shared" si="4"/>
        <v>#VALUE!</v>
      </c>
      <c r="U30" s="798" t="e">
        <f t="shared" si="5"/>
        <v>#DIV/0!</v>
      </c>
      <c r="V30" s="798" t="e">
        <f t="shared" si="6"/>
        <v>#DIV/0!</v>
      </c>
      <c r="W30" s="799" t="e">
        <f t="shared" si="7"/>
        <v>#N/A</v>
      </c>
      <c r="X30" s="802" t="e">
        <f t="shared" si="8"/>
        <v>#VALUE!</v>
      </c>
      <c r="Z30" s="803">
        <f t="shared" si="9"/>
        <v>0</v>
      </c>
      <c r="AA30" s="802" t="e">
        <f t="shared" si="11"/>
        <v>#DIV/0!</v>
      </c>
    </row>
    <row r="31" spans="1:27">
      <c r="A31" s="777"/>
      <c r="B31" s="655"/>
      <c r="C31" s="778"/>
      <c r="D31" s="653"/>
      <c r="E31" s="779"/>
      <c r="F31" s="780"/>
      <c r="G31" s="780"/>
      <c r="H31" s="780"/>
      <c r="I31" s="780"/>
      <c r="J31" s="781"/>
      <c r="K31" s="781"/>
      <c r="L31" s="781"/>
      <c r="M31" s="782"/>
      <c r="O31" s="803" t="e">
        <f t="shared" si="10"/>
        <v>#DIV/0!</v>
      </c>
      <c r="P31" s="798" t="e">
        <f t="shared" si="0"/>
        <v>#DIV/0!</v>
      </c>
      <c r="Q31" s="799" t="e">
        <f t="shared" si="1"/>
        <v>#DIV/0!</v>
      </c>
      <c r="R31" s="800" t="e">
        <f t="shared" si="2"/>
        <v>#DIV/0!</v>
      </c>
      <c r="S31" s="799" t="e">
        <f t="shared" si="3"/>
        <v>#VALUE!</v>
      </c>
      <c r="T31" s="801" t="e">
        <f t="shared" si="4"/>
        <v>#VALUE!</v>
      </c>
      <c r="U31" s="798" t="e">
        <f t="shared" si="5"/>
        <v>#DIV/0!</v>
      </c>
      <c r="V31" s="798" t="e">
        <f t="shared" si="6"/>
        <v>#DIV/0!</v>
      </c>
      <c r="W31" s="799" t="e">
        <f t="shared" si="7"/>
        <v>#N/A</v>
      </c>
      <c r="X31" s="802" t="e">
        <f t="shared" si="8"/>
        <v>#VALUE!</v>
      </c>
      <c r="Z31" s="803">
        <f t="shared" si="9"/>
        <v>0</v>
      </c>
      <c r="AA31" s="802" t="e">
        <f t="shared" si="11"/>
        <v>#DIV/0!</v>
      </c>
    </row>
    <row r="32" spans="1:27">
      <c r="A32" s="777"/>
      <c r="B32" s="655"/>
      <c r="C32" s="778"/>
      <c r="D32" s="653"/>
      <c r="E32" s="779"/>
      <c r="F32" s="780"/>
      <c r="G32" s="780"/>
      <c r="H32" s="780"/>
      <c r="I32" s="780"/>
      <c r="J32" s="781"/>
      <c r="K32" s="781"/>
      <c r="L32" s="781"/>
      <c r="M32" s="782"/>
      <c r="O32" s="803" t="e">
        <f t="shared" si="10"/>
        <v>#DIV/0!</v>
      </c>
      <c r="P32" s="798" t="e">
        <f t="shared" si="0"/>
        <v>#DIV/0!</v>
      </c>
      <c r="Q32" s="799" t="e">
        <f t="shared" si="1"/>
        <v>#DIV/0!</v>
      </c>
      <c r="R32" s="800" t="e">
        <f t="shared" si="2"/>
        <v>#DIV/0!</v>
      </c>
      <c r="S32" s="799" t="e">
        <f t="shared" si="3"/>
        <v>#VALUE!</v>
      </c>
      <c r="T32" s="801" t="e">
        <f t="shared" si="4"/>
        <v>#VALUE!</v>
      </c>
      <c r="U32" s="798" t="e">
        <f t="shared" si="5"/>
        <v>#DIV/0!</v>
      </c>
      <c r="V32" s="798" t="e">
        <f t="shared" si="6"/>
        <v>#DIV/0!</v>
      </c>
      <c r="W32" s="799" t="e">
        <f t="shared" si="7"/>
        <v>#N/A</v>
      </c>
      <c r="X32" s="802" t="e">
        <f t="shared" si="8"/>
        <v>#VALUE!</v>
      </c>
      <c r="Z32" s="803">
        <f t="shared" si="9"/>
        <v>0</v>
      </c>
      <c r="AA32" s="802" t="e">
        <f t="shared" si="11"/>
        <v>#DIV/0!</v>
      </c>
    </row>
    <row r="33" spans="1:27">
      <c r="A33" s="777"/>
      <c r="B33" s="655"/>
      <c r="C33" s="778"/>
      <c r="D33" s="653"/>
      <c r="E33" s="779"/>
      <c r="F33" s="780"/>
      <c r="G33" s="780"/>
      <c r="H33" s="780"/>
      <c r="I33" s="780"/>
      <c r="J33" s="781"/>
      <c r="K33" s="781"/>
      <c r="L33" s="781"/>
      <c r="M33" s="782"/>
      <c r="O33" s="803" t="e">
        <f t="shared" si="10"/>
        <v>#DIV/0!</v>
      </c>
      <c r="P33" s="798" t="e">
        <f t="shared" si="0"/>
        <v>#DIV/0!</v>
      </c>
      <c r="Q33" s="799" t="e">
        <f t="shared" si="1"/>
        <v>#DIV/0!</v>
      </c>
      <c r="R33" s="800" t="e">
        <f t="shared" si="2"/>
        <v>#DIV/0!</v>
      </c>
      <c r="S33" s="799" t="e">
        <f t="shared" si="3"/>
        <v>#VALUE!</v>
      </c>
      <c r="T33" s="801" t="e">
        <f t="shared" si="4"/>
        <v>#VALUE!</v>
      </c>
      <c r="U33" s="798" t="e">
        <f t="shared" si="5"/>
        <v>#DIV/0!</v>
      </c>
      <c r="V33" s="798" t="e">
        <f t="shared" si="6"/>
        <v>#DIV/0!</v>
      </c>
      <c r="W33" s="799" t="e">
        <f t="shared" si="7"/>
        <v>#N/A</v>
      </c>
      <c r="X33" s="802" t="e">
        <f t="shared" si="8"/>
        <v>#VALUE!</v>
      </c>
      <c r="Z33" s="803">
        <f t="shared" si="9"/>
        <v>0</v>
      </c>
      <c r="AA33" s="802" t="e">
        <f t="shared" si="11"/>
        <v>#DIV/0!</v>
      </c>
    </row>
    <row r="34" spans="1:27">
      <c r="A34" s="777"/>
      <c r="B34" s="655"/>
      <c r="C34" s="778"/>
      <c r="D34" s="653"/>
      <c r="E34" s="779"/>
      <c r="F34" s="780"/>
      <c r="G34" s="780"/>
      <c r="H34" s="780"/>
      <c r="I34" s="780"/>
      <c r="J34" s="781"/>
      <c r="K34" s="781"/>
      <c r="L34" s="781"/>
      <c r="M34" s="782"/>
      <c r="O34" s="803" t="e">
        <f t="shared" si="10"/>
        <v>#DIV/0!</v>
      </c>
      <c r="P34" s="798" t="e">
        <f t="shared" si="0"/>
        <v>#DIV/0!</v>
      </c>
      <c r="Q34" s="799" t="e">
        <f t="shared" si="1"/>
        <v>#DIV/0!</v>
      </c>
      <c r="R34" s="800" t="e">
        <f t="shared" si="2"/>
        <v>#DIV/0!</v>
      </c>
      <c r="S34" s="799" t="e">
        <f t="shared" si="3"/>
        <v>#VALUE!</v>
      </c>
      <c r="T34" s="801" t="e">
        <f t="shared" si="4"/>
        <v>#VALUE!</v>
      </c>
      <c r="U34" s="798" t="e">
        <f t="shared" si="5"/>
        <v>#DIV/0!</v>
      </c>
      <c r="V34" s="798" t="e">
        <f t="shared" si="6"/>
        <v>#DIV/0!</v>
      </c>
      <c r="W34" s="799" t="e">
        <f t="shared" si="7"/>
        <v>#N/A</v>
      </c>
      <c r="X34" s="802" t="e">
        <f t="shared" si="8"/>
        <v>#VALUE!</v>
      </c>
      <c r="Z34" s="803">
        <f t="shared" si="9"/>
        <v>0</v>
      </c>
      <c r="AA34" s="802" t="e">
        <f t="shared" si="11"/>
        <v>#DIV/0!</v>
      </c>
    </row>
    <row r="35" spans="1:27">
      <c r="A35" s="777"/>
      <c r="B35" s="655"/>
      <c r="C35" s="778"/>
      <c r="D35" s="653"/>
      <c r="E35" s="779"/>
      <c r="F35" s="780"/>
      <c r="G35" s="780"/>
      <c r="H35" s="780"/>
      <c r="I35" s="780"/>
      <c r="J35" s="781"/>
      <c r="K35" s="781"/>
      <c r="L35" s="781"/>
      <c r="M35" s="782"/>
      <c r="O35" s="803" t="e">
        <f t="shared" si="10"/>
        <v>#DIV/0!</v>
      </c>
      <c r="P35" s="798" t="e">
        <f t="shared" si="0"/>
        <v>#DIV/0!</v>
      </c>
      <c r="Q35" s="799" t="e">
        <f t="shared" si="1"/>
        <v>#DIV/0!</v>
      </c>
      <c r="R35" s="800" t="e">
        <f t="shared" si="2"/>
        <v>#DIV/0!</v>
      </c>
      <c r="S35" s="799" t="e">
        <f t="shared" si="3"/>
        <v>#VALUE!</v>
      </c>
      <c r="T35" s="801" t="e">
        <f t="shared" si="4"/>
        <v>#VALUE!</v>
      </c>
      <c r="U35" s="798" t="e">
        <f t="shared" si="5"/>
        <v>#DIV/0!</v>
      </c>
      <c r="V35" s="798" t="e">
        <f t="shared" si="6"/>
        <v>#DIV/0!</v>
      </c>
      <c r="W35" s="799" t="e">
        <f t="shared" si="7"/>
        <v>#N/A</v>
      </c>
      <c r="X35" s="802" t="e">
        <f t="shared" si="8"/>
        <v>#VALUE!</v>
      </c>
      <c r="Z35" s="803">
        <f t="shared" si="9"/>
        <v>0</v>
      </c>
      <c r="AA35" s="802" t="e">
        <f t="shared" si="11"/>
        <v>#DIV/0!</v>
      </c>
    </row>
    <row r="36" spans="1:27">
      <c r="A36" s="777"/>
      <c r="B36" s="655"/>
      <c r="C36" s="778"/>
      <c r="D36" s="653"/>
      <c r="E36" s="779"/>
      <c r="F36" s="780"/>
      <c r="G36" s="780"/>
      <c r="H36" s="780"/>
      <c r="I36" s="780"/>
      <c r="J36" s="781"/>
      <c r="K36" s="781"/>
      <c r="L36" s="781"/>
      <c r="M36" s="782"/>
      <c r="O36" s="803" t="e">
        <f t="shared" si="10"/>
        <v>#DIV/0!</v>
      </c>
      <c r="P36" s="798" t="e">
        <f t="shared" si="0"/>
        <v>#DIV/0!</v>
      </c>
      <c r="Q36" s="799" t="e">
        <f t="shared" si="1"/>
        <v>#DIV/0!</v>
      </c>
      <c r="R36" s="800" t="e">
        <f t="shared" si="2"/>
        <v>#DIV/0!</v>
      </c>
      <c r="S36" s="804" t="e">
        <f t="shared" si="3"/>
        <v>#VALUE!</v>
      </c>
      <c r="T36" s="801" t="e">
        <f t="shared" si="4"/>
        <v>#VALUE!</v>
      </c>
      <c r="U36" s="798" t="e">
        <f t="shared" si="5"/>
        <v>#DIV/0!</v>
      </c>
      <c r="V36" s="798" t="e">
        <f t="shared" si="6"/>
        <v>#DIV/0!</v>
      </c>
      <c r="W36" s="799" t="e">
        <f t="shared" si="7"/>
        <v>#N/A</v>
      </c>
      <c r="X36" s="802" t="e">
        <f t="shared" si="8"/>
        <v>#VALUE!</v>
      </c>
      <c r="Z36" s="803">
        <f t="shared" si="9"/>
        <v>0</v>
      </c>
      <c r="AA36" s="802" t="e">
        <f t="shared" si="11"/>
        <v>#DIV/0!</v>
      </c>
    </row>
    <row r="37" spans="1:27">
      <c r="A37" s="777"/>
      <c r="B37" s="655"/>
      <c r="C37" s="778"/>
      <c r="D37" s="653"/>
      <c r="E37" s="779"/>
      <c r="F37" s="780"/>
      <c r="G37" s="780"/>
      <c r="H37" s="780"/>
      <c r="I37" s="780"/>
      <c r="J37" s="781"/>
      <c r="K37" s="781"/>
      <c r="L37" s="781"/>
      <c r="M37" s="782"/>
      <c r="O37" s="803" t="e">
        <f t="shared" si="10"/>
        <v>#DIV/0!</v>
      </c>
      <c r="P37" s="798" t="e">
        <f t="shared" si="0"/>
        <v>#DIV/0!</v>
      </c>
      <c r="Q37" s="799" t="e">
        <f t="shared" si="1"/>
        <v>#DIV/0!</v>
      </c>
      <c r="R37" s="800" t="e">
        <f t="shared" si="2"/>
        <v>#DIV/0!</v>
      </c>
      <c r="S37" s="799" t="e">
        <f t="shared" si="3"/>
        <v>#VALUE!</v>
      </c>
      <c r="T37" s="801" t="e">
        <f t="shared" si="4"/>
        <v>#VALUE!</v>
      </c>
      <c r="U37" s="798" t="e">
        <f t="shared" si="5"/>
        <v>#DIV/0!</v>
      </c>
      <c r="V37" s="798" t="e">
        <f t="shared" si="6"/>
        <v>#DIV/0!</v>
      </c>
      <c r="W37" s="799" t="e">
        <f t="shared" si="7"/>
        <v>#N/A</v>
      </c>
      <c r="X37" s="802" t="e">
        <f t="shared" si="8"/>
        <v>#VALUE!</v>
      </c>
      <c r="Z37" s="803">
        <f t="shared" si="9"/>
        <v>0</v>
      </c>
      <c r="AA37" s="802" t="e">
        <f t="shared" si="11"/>
        <v>#DIV/0!</v>
      </c>
    </row>
    <row r="38" spans="1:27" ht="15" thickBot="1">
      <c r="A38" s="783"/>
      <c r="B38" s="658"/>
      <c r="C38" s="784"/>
      <c r="D38" s="644"/>
      <c r="E38" s="785"/>
      <c r="F38" s="786"/>
      <c r="G38" s="786"/>
      <c r="H38" s="786"/>
      <c r="I38" s="786"/>
      <c r="J38" s="787"/>
      <c r="K38" s="787"/>
      <c r="L38" s="787"/>
      <c r="M38" s="788"/>
      <c r="O38" s="805" t="e">
        <f>$O$7*$F38+$O$8*$G38</f>
        <v>#DIV/0!</v>
      </c>
      <c r="P38" s="806" t="e">
        <f>$P$9*$H38</f>
        <v>#DIV/0!</v>
      </c>
      <c r="Q38" s="807" t="e">
        <f>$Q$7*$F38+$Q$8*$G38</f>
        <v>#DIV/0!</v>
      </c>
      <c r="R38" s="808" t="e">
        <f>$R$9*$H38</f>
        <v>#DIV/0!</v>
      </c>
      <c r="S38" s="807" t="e">
        <f>$S$10*($I38+$J38)+$S$11*$K38</f>
        <v>#VALUE!</v>
      </c>
      <c r="T38" s="809" t="e">
        <f>$T$10*($I38+$J38+$K38)</f>
        <v>#VALUE!</v>
      </c>
      <c r="U38" s="806" t="e">
        <f>$U$10*($I38+$J38+$K38)</f>
        <v>#DIV/0!</v>
      </c>
      <c r="V38" s="806" t="e">
        <f>$V$10*(($I38+$J38+$K38)-IF($D38="x",0.15*MAX($I38+$J38+$K38-20000,0)+0.05*MAX($I38+$J38+$K38-50000,0)+0.05*MAX($I38+$J38+$K38-1000000,0)+0.2*MAX($I38+$J38+$K38-25000000,0),0))</f>
        <v>#DIV/0!</v>
      </c>
      <c r="W38" s="810" t="e">
        <f>INDEX($W$12:$W$13,MATCH($E38,$N$12:$N$13,0))</f>
        <v>#N/A</v>
      </c>
      <c r="X38" s="811" t="e">
        <f>$X$14*($L38+$M38)</f>
        <v>#VALUE!</v>
      </c>
      <c r="Z38" s="805">
        <f>$O$15*($I38+$J38+$K38)</f>
        <v>0</v>
      </c>
      <c r="AA38" s="814" t="e">
        <f>IF($C38="x",0,MAX(SUM($Q38,$S38:$V38)-$Z38,0))</f>
        <v>#DIV/0!</v>
      </c>
    </row>
    <row r="39" spans="1:27">
      <c r="A39" s="221"/>
      <c r="B39" s="594" t="s">
        <v>102</v>
      </c>
      <c r="C39" s="131"/>
      <c r="D39" s="222"/>
      <c r="E39" s="232">
        <f>COUNTIFS($B$20:$B$38,$B39)</f>
        <v>0</v>
      </c>
      <c r="F39" s="233">
        <f t="shared" ref="F39:M40" si="12">SUMIFS(F$20:F$38,$B$20:$B$38,$B39)</f>
        <v>0</v>
      </c>
      <c r="G39" s="233">
        <f t="shared" si="12"/>
        <v>0</v>
      </c>
      <c r="H39" s="233">
        <f t="shared" si="12"/>
        <v>0</v>
      </c>
      <c r="I39" s="233">
        <f t="shared" si="12"/>
        <v>0</v>
      </c>
      <c r="J39" s="426">
        <f t="shared" si="12"/>
        <v>0</v>
      </c>
      <c r="K39" s="426">
        <f t="shared" si="12"/>
        <v>0</v>
      </c>
      <c r="L39" s="426">
        <f t="shared" si="12"/>
        <v>0</v>
      </c>
      <c r="M39" s="297">
        <f t="shared" si="12"/>
        <v>0</v>
      </c>
      <c r="O39" s="214">
        <f t="shared" ref="O39:X40" si="13">SUMIFS(O$20:O$38,$B$20:$B$38,$B39)</f>
        <v>0</v>
      </c>
      <c r="P39" s="215">
        <f t="shared" si="13"/>
        <v>0</v>
      </c>
      <c r="Q39" s="89">
        <f t="shared" si="13"/>
        <v>0</v>
      </c>
      <c r="R39" s="91">
        <f t="shared" si="13"/>
        <v>0</v>
      </c>
      <c r="S39" s="89">
        <f t="shared" si="13"/>
        <v>0</v>
      </c>
      <c r="T39" s="90">
        <f t="shared" si="13"/>
        <v>0</v>
      </c>
      <c r="U39" s="90">
        <f t="shared" si="13"/>
        <v>0</v>
      </c>
      <c r="V39" s="215">
        <f t="shared" si="13"/>
        <v>0</v>
      </c>
      <c r="W39" s="89">
        <f t="shared" si="13"/>
        <v>0</v>
      </c>
      <c r="X39" s="194">
        <f t="shared" si="13"/>
        <v>0</v>
      </c>
      <c r="Z39" s="214"/>
      <c r="AA39" s="194">
        <f>SUMIFS(AA$20:AA$38,$B$20:$B$38,$B39)</f>
        <v>0</v>
      </c>
    </row>
    <row r="40" spans="1:27" ht="15" thickBot="1">
      <c r="A40" s="219"/>
      <c r="B40" s="218" t="s">
        <v>133</v>
      </c>
      <c r="C40" s="580"/>
      <c r="D40" s="220"/>
      <c r="E40" s="433">
        <f>COUNTIFS($B$20:$B$38,$B40)</f>
        <v>0</v>
      </c>
      <c r="F40" s="427">
        <f t="shared" si="12"/>
        <v>0</v>
      </c>
      <c r="G40" s="427">
        <f t="shared" si="12"/>
        <v>0</v>
      </c>
      <c r="H40" s="427">
        <f t="shared" si="12"/>
        <v>0</v>
      </c>
      <c r="I40" s="427">
        <f t="shared" si="12"/>
        <v>0</v>
      </c>
      <c r="J40" s="428">
        <f t="shared" si="12"/>
        <v>0</v>
      </c>
      <c r="K40" s="428">
        <f t="shared" si="12"/>
        <v>0</v>
      </c>
      <c r="L40" s="428">
        <f t="shared" si="12"/>
        <v>0</v>
      </c>
      <c r="M40" s="429">
        <f t="shared" si="12"/>
        <v>0</v>
      </c>
      <c r="O40" s="200">
        <f t="shared" si="13"/>
        <v>0</v>
      </c>
      <c r="P40" s="201">
        <f t="shared" si="13"/>
        <v>0</v>
      </c>
      <c r="Q40" s="96">
        <f t="shared" si="13"/>
        <v>0</v>
      </c>
      <c r="R40" s="98">
        <f t="shared" si="13"/>
        <v>0</v>
      </c>
      <c r="S40" s="96">
        <f t="shared" si="13"/>
        <v>0</v>
      </c>
      <c r="T40" s="97">
        <f t="shared" si="13"/>
        <v>0</v>
      </c>
      <c r="U40" s="97">
        <f t="shared" si="13"/>
        <v>0</v>
      </c>
      <c r="V40" s="201">
        <f t="shared" si="13"/>
        <v>0</v>
      </c>
      <c r="W40" s="96">
        <f t="shared" si="13"/>
        <v>0</v>
      </c>
      <c r="X40" s="202">
        <f t="shared" si="13"/>
        <v>0</v>
      </c>
      <c r="Z40" s="200"/>
      <c r="AA40" s="202">
        <f>SUMIFS(AA$20:AA$38,$B$20:$B$38,$B40)</f>
        <v>0</v>
      </c>
    </row>
    <row r="41" spans="1:27" ht="15" thickBot="1">
      <c r="A41" s="1495" t="s">
        <v>11</v>
      </c>
      <c r="B41" s="1496"/>
      <c r="C41" s="1497"/>
      <c r="D41" s="582"/>
      <c r="E41" s="434">
        <f>COUNT(E$20:E$38)</f>
        <v>0</v>
      </c>
      <c r="F41" s="430">
        <f t="shared" ref="F41:M41" si="14">SUM(F$20:F$38)</f>
        <v>0</v>
      </c>
      <c r="G41" s="430">
        <f t="shared" si="14"/>
        <v>0</v>
      </c>
      <c r="H41" s="430">
        <f t="shared" si="14"/>
        <v>0</v>
      </c>
      <c r="I41" s="430">
        <f t="shared" si="14"/>
        <v>0</v>
      </c>
      <c r="J41" s="431">
        <f t="shared" si="14"/>
        <v>0</v>
      </c>
      <c r="K41" s="431">
        <f t="shared" si="14"/>
        <v>0</v>
      </c>
      <c r="L41" s="431">
        <f t="shared" si="14"/>
        <v>0</v>
      </c>
      <c r="M41" s="432">
        <f t="shared" si="14"/>
        <v>0</v>
      </c>
      <c r="O41" s="204" t="e">
        <f t="shared" ref="O41:X41" si="15">SUBTOTAL(109,O$20:O$38)</f>
        <v>#DIV/0!</v>
      </c>
      <c r="P41" s="99" t="e">
        <f t="shared" si="15"/>
        <v>#DIV/0!</v>
      </c>
      <c r="Q41" s="100" t="e">
        <f t="shared" si="15"/>
        <v>#DIV/0!</v>
      </c>
      <c r="R41" s="102" t="e">
        <f t="shared" si="15"/>
        <v>#DIV/0!</v>
      </c>
      <c r="S41" s="382" t="e">
        <f t="shared" si="15"/>
        <v>#VALUE!</v>
      </c>
      <c r="T41" s="101" t="e">
        <f t="shared" si="15"/>
        <v>#VALUE!</v>
      </c>
      <c r="U41" s="101" t="e">
        <f t="shared" si="15"/>
        <v>#DIV/0!</v>
      </c>
      <c r="V41" s="99" t="e">
        <f t="shared" si="15"/>
        <v>#DIV/0!</v>
      </c>
      <c r="W41" s="382" t="e">
        <f t="shared" si="15"/>
        <v>#N/A</v>
      </c>
      <c r="X41" s="205" t="e">
        <f t="shared" si="15"/>
        <v>#VALUE!</v>
      </c>
      <c r="Z41" s="204"/>
      <c r="AA41" s="205" t="e">
        <f>SUBTOTAL(109,AA$20:AA$38)</f>
        <v>#DIV/0!</v>
      </c>
    </row>
  </sheetData>
  <sheetProtection algorithmName="SHA-512" hashValue="5meCIVp7ALYRUh798WZNSDxAW1JmfhWpSkZUR3Vi3E8+FqPJhx72xS9sO5K2SfWNtukH6LDJEADcpTAKSLb2cQ==" saltValue="dakCpbqcwoDc+qWyZABrNA==" spinCount="100000" sheet="1" objects="1" scenarios="1" insertRows="0" deleteRows="0" sort="0" autoFilter="0"/>
  <autoFilter ref="A19:AA19" xr:uid="{23B61287-16F6-4880-A209-D67001E5335E}"/>
  <mergeCells count="15">
    <mergeCell ref="A1:X1"/>
    <mergeCell ref="A41:C41"/>
    <mergeCell ref="Z18:AA18"/>
    <mergeCell ref="Q16:R16"/>
    <mergeCell ref="O15:V15"/>
    <mergeCell ref="D4:E4"/>
    <mergeCell ref="S18:S19"/>
    <mergeCell ref="T18:T19"/>
    <mergeCell ref="V18:V19"/>
    <mergeCell ref="M7:M16"/>
    <mergeCell ref="O18:P18"/>
    <mergeCell ref="Q18:R18"/>
    <mergeCell ref="W18:W19"/>
    <mergeCell ref="X18:X19"/>
    <mergeCell ref="U18:U19"/>
  </mergeCells>
  <dataValidations count="3">
    <dataValidation type="list" allowBlank="1" showInputMessage="1" showErrorMessage="1" sqref="C20:D38" xr:uid="{00000000-0002-0000-0900-000000000000}">
      <formula1>"x"</formula1>
    </dataValidation>
    <dataValidation type="list" allowBlank="1" showInputMessage="1" showErrorMessage="1" sqref="B20:B38" xr:uid="{00000000-0002-0000-0900-000001000000}">
      <formula1>$B$39:$B$40</formula1>
    </dataValidation>
    <dataValidation type="list" allowBlank="1" showInputMessage="1" showErrorMessage="1" sqref="E20:E38" xr:uid="{77874412-B6D8-4FF4-B35B-365BD218EC6D}">
      <formula1>"AMR,MMR,DM - MR1,DM - MR3,KM"</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732-FA54-4C3F-AFB8-F77D890E6E1F}">
  <sheetPr published="0"/>
  <dimension ref="A1:AA42"/>
  <sheetViews>
    <sheetView workbookViewId="0">
      <selection activeCell="D4" sqref="D4:E4"/>
    </sheetView>
  </sheetViews>
  <sheetFormatPr defaultColWidth="20.7265625" defaultRowHeight="14.5"/>
  <cols>
    <col min="1" max="1" width="20.7265625" style="591"/>
    <col min="2" max="2" width="25.81640625" style="591" customWidth="1"/>
    <col min="3" max="24" width="20.7265625" style="591"/>
    <col min="25" max="25" width="5.7265625" style="591" customWidth="1"/>
    <col min="26" max="16384" width="20.7265625" style="591"/>
  </cols>
  <sheetData>
    <row r="1" spans="1:24" ht="30" customHeight="1" thickBot="1">
      <c r="A1" s="1425" t="s">
        <v>349</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1"/>
      <c r="C2" s="1"/>
      <c r="D2" s="1"/>
      <c r="E2" s="1"/>
      <c r="F2" s="1"/>
      <c r="G2" s="1"/>
      <c r="H2" s="1"/>
      <c r="I2" s="1"/>
      <c r="J2" s="1"/>
      <c r="K2" s="1"/>
      <c r="L2" s="1"/>
      <c r="M2" s="1"/>
      <c r="N2" s="1"/>
      <c r="O2" s="1"/>
      <c r="P2" s="1"/>
    </row>
    <row r="3" spans="1:24" ht="15" thickBot="1">
      <c r="B3" s="1"/>
      <c r="C3" s="1"/>
      <c r="D3" s="1"/>
      <c r="E3" s="1"/>
      <c r="F3" s="1"/>
      <c r="G3" s="1"/>
      <c r="H3" s="1"/>
      <c r="I3" s="1"/>
      <c r="J3" s="1"/>
      <c r="K3" s="1"/>
      <c r="L3" s="1"/>
      <c r="M3" s="1"/>
      <c r="N3" s="1"/>
      <c r="O3" s="1"/>
      <c r="P3" s="1"/>
    </row>
    <row r="4" spans="1:24" ht="15" thickBot="1">
      <c r="B4" s="129" t="s">
        <v>6</v>
      </c>
      <c r="C4" s="168"/>
      <c r="D4" s="1420" t="str">
        <f>DNB</f>
        <v>Naam distributienetbeheerder</v>
      </c>
      <c r="E4" s="1422"/>
      <c r="K4" s="168"/>
      <c r="L4" s="168"/>
      <c r="O4" s="1"/>
      <c r="P4" s="1"/>
    </row>
    <row r="6" spans="1:24" ht="15" thickBot="1"/>
    <row r="7" spans="1:24" ht="16.5">
      <c r="M7" s="1509" t="s">
        <v>152</v>
      </c>
      <c r="N7" s="210" t="s">
        <v>110</v>
      </c>
      <c r="O7" s="397" t="e">
        <f>INDEX(Tabel3B[Afnameklanten op MS (∑)],1)</f>
        <v>#VALUE!</v>
      </c>
      <c r="P7" s="398"/>
      <c r="Q7" s="399" t="e">
        <f>$O$7*$Q$16</f>
        <v>#VALUE!</v>
      </c>
      <c r="R7" s="398"/>
      <c r="S7" s="398"/>
      <c r="T7" s="398"/>
      <c r="U7" s="400"/>
      <c r="V7" s="400"/>
      <c r="W7" s="401"/>
      <c r="X7" s="402"/>
    </row>
    <row r="8" spans="1:24" ht="16.5">
      <c r="M8" s="1510"/>
      <c r="N8" s="211" t="s">
        <v>111</v>
      </c>
      <c r="O8" s="403" t="e">
        <f>INDEX(Tabel3B[Afnameklanten op MS (∑)],2)</f>
        <v>#VALUE!</v>
      </c>
      <c r="P8" s="404"/>
      <c r="Q8" s="405" t="e">
        <f>$O$8*$Q$16</f>
        <v>#VALUE!</v>
      </c>
      <c r="R8" s="404"/>
      <c r="S8" s="404"/>
      <c r="T8" s="404"/>
      <c r="U8" s="406"/>
      <c r="V8" s="406"/>
      <c r="W8" s="407"/>
      <c r="X8" s="408"/>
    </row>
    <row r="9" spans="1:24" ht="16.5">
      <c r="M9" s="1510"/>
      <c r="N9" s="211" t="s">
        <v>112</v>
      </c>
      <c r="O9" s="407"/>
      <c r="P9" s="405" t="e">
        <f>INDEX(Tabel3B[Afnameklanten op MS (∑)],3)</f>
        <v>#VALUE!</v>
      </c>
      <c r="Q9" s="404"/>
      <c r="R9" s="405" t="e">
        <f>$P$9*$Q$16</f>
        <v>#VALUE!</v>
      </c>
      <c r="S9" s="404"/>
      <c r="T9" s="404"/>
      <c r="U9" s="406"/>
      <c r="V9" s="406"/>
      <c r="W9" s="407"/>
      <c r="X9" s="408"/>
    </row>
    <row r="10" spans="1:24" ht="16.5">
      <c r="M10" s="1510"/>
      <c r="N10" s="211" t="s">
        <v>115</v>
      </c>
      <c r="O10" s="409"/>
      <c r="P10" s="410"/>
      <c r="Q10" s="410"/>
      <c r="R10" s="410"/>
      <c r="S10" s="411" t="e">
        <f>INDEX(Tabel3B[Afnameklanten op MS (∑)],15)</f>
        <v>#VALUE!</v>
      </c>
      <c r="T10" s="411" t="e">
        <f>INDEX(Tabel3B[Afnameklanten op MS (∑)],17)</f>
        <v>#VALUE!</v>
      </c>
      <c r="U10" s="412" t="e">
        <f>INDEX(Tabel3B[Afnameklanten op MS (∑)],19)</f>
        <v>#DIV/0!</v>
      </c>
      <c r="V10" s="412" t="e">
        <f>INDEX(Tabel3B[Afnameklanten op MS (∑)],20)</f>
        <v>#DIV/0!</v>
      </c>
      <c r="W10" s="407"/>
      <c r="X10" s="408"/>
    </row>
    <row r="11" spans="1:24" ht="16.5">
      <c r="M11" s="1510"/>
      <c r="N11" s="211" t="s">
        <v>218</v>
      </c>
      <c r="O11" s="409"/>
      <c r="P11" s="410"/>
      <c r="Q11" s="410"/>
      <c r="R11" s="410"/>
      <c r="S11" s="411" t="e">
        <f>INDEX(Tabel3B[Afnameklanten op MS (∑)],16)</f>
        <v>#VALUE!</v>
      </c>
      <c r="T11" s="410"/>
      <c r="U11" s="413"/>
      <c r="V11" s="413"/>
      <c r="W11" s="407"/>
      <c r="X11" s="408"/>
    </row>
    <row r="12" spans="1:24">
      <c r="M12" s="1510"/>
      <c r="N12" s="392" t="s">
        <v>7</v>
      </c>
      <c r="O12" s="407"/>
      <c r="P12" s="404"/>
      <c r="Q12" s="404"/>
      <c r="R12" s="404"/>
      <c r="S12" s="404"/>
      <c r="T12" s="404"/>
      <c r="U12" s="406"/>
      <c r="V12" s="414"/>
      <c r="W12" s="93" t="e">
        <f>INDEX(Tabel3B[Afnameklanten op MS (∑)],9)</f>
        <v>#DIV/0!</v>
      </c>
      <c r="X12" s="408"/>
    </row>
    <row r="13" spans="1:24">
      <c r="M13" s="1510"/>
      <c r="N13" s="393" t="s">
        <v>8</v>
      </c>
      <c r="O13" s="407"/>
      <c r="P13" s="404"/>
      <c r="Q13" s="404"/>
      <c r="R13" s="404"/>
      <c r="S13" s="404"/>
      <c r="T13" s="404"/>
      <c r="U13" s="406"/>
      <c r="V13" s="414"/>
      <c r="W13" s="93" t="e">
        <f>INDEX(Tabel3B[Afnameklanten op MS (∑)],10)</f>
        <v>#DIV/0!</v>
      </c>
      <c r="X13" s="408"/>
    </row>
    <row r="14" spans="1:24" ht="15" thickBot="1">
      <c r="M14" s="1510"/>
      <c r="N14" s="394" t="s">
        <v>197</v>
      </c>
      <c r="O14" s="407"/>
      <c r="P14" s="404"/>
      <c r="Q14" s="404"/>
      <c r="R14" s="404"/>
      <c r="S14" s="404"/>
      <c r="T14" s="404"/>
      <c r="U14" s="406"/>
      <c r="V14" s="414"/>
      <c r="W14" s="407"/>
      <c r="X14" s="415" t="e">
        <f>INDEX(Tabel3B[Afnameklanten op MS (∑)],8)</f>
        <v>#VALUE!</v>
      </c>
    </row>
    <row r="15" spans="1:24" ht="30" customHeight="1" thickBot="1">
      <c r="M15" s="1510"/>
      <c r="N15" s="212" t="s">
        <v>130</v>
      </c>
      <c r="O15" s="1500">
        <v>0</v>
      </c>
      <c r="P15" s="1501"/>
      <c r="Q15" s="1501"/>
      <c r="R15" s="1501"/>
      <c r="S15" s="1501"/>
      <c r="T15" s="1501"/>
      <c r="U15" s="1502"/>
      <c r="V15" s="1502"/>
      <c r="W15" s="395"/>
      <c r="X15" s="396"/>
    </row>
    <row r="16" spans="1:24" ht="30" customHeight="1" thickBot="1">
      <c r="M16" s="1511"/>
      <c r="N16" s="213" t="s">
        <v>136</v>
      </c>
      <c r="O16" s="206"/>
      <c r="P16" s="207"/>
      <c r="Q16" s="1499">
        <f>PROCENT_VERHOGING_NA_MAX</f>
        <v>1</v>
      </c>
      <c r="R16" s="1499"/>
      <c r="S16" s="207"/>
      <c r="T16" s="207"/>
      <c r="U16" s="389"/>
      <c r="V16" s="389"/>
      <c r="W16" s="208"/>
      <c r="X16" s="209"/>
    </row>
    <row r="17" spans="1:27" ht="15" thickBot="1"/>
    <row r="18" spans="1:27" ht="30" customHeight="1" thickBot="1">
      <c r="O18" s="1498" t="s">
        <v>137</v>
      </c>
      <c r="P18" s="1512"/>
      <c r="Q18" s="1487" t="s">
        <v>140</v>
      </c>
      <c r="R18" s="1488"/>
      <c r="S18" s="1503" t="s">
        <v>85</v>
      </c>
      <c r="T18" s="1505" t="s">
        <v>9</v>
      </c>
      <c r="U18" s="1517" t="s">
        <v>562</v>
      </c>
      <c r="V18" s="1507" t="s">
        <v>561</v>
      </c>
      <c r="W18" s="1513" t="s">
        <v>84</v>
      </c>
      <c r="X18" s="1515" t="s">
        <v>13</v>
      </c>
      <c r="Z18" s="1498" t="s">
        <v>138</v>
      </c>
      <c r="AA18" s="1483"/>
    </row>
    <row r="19" spans="1:27" ht="17" thickBot="1">
      <c r="A19" s="602" t="s">
        <v>146</v>
      </c>
      <c r="B19" s="183" t="s">
        <v>107</v>
      </c>
      <c r="C19" s="581" t="s">
        <v>214</v>
      </c>
      <c r="D19" s="184" t="s">
        <v>563</v>
      </c>
      <c r="E19" s="185" t="s">
        <v>25</v>
      </c>
      <c r="F19" s="186" t="s">
        <v>110</v>
      </c>
      <c r="G19" s="186" t="s">
        <v>111</v>
      </c>
      <c r="H19" s="186" t="s">
        <v>112</v>
      </c>
      <c r="I19" s="186" t="s">
        <v>343</v>
      </c>
      <c r="J19" s="383" t="s">
        <v>344</v>
      </c>
      <c r="K19" s="383" t="s">
        <v>345</v>
      </c>
      <c r="L19" s="383" t="s">
        <v>346</v>
      </c>
      <c r="M19" s="187" t="s">
        <v>347</v>
      </c>
      <c r="O19" s="188" t="s">
        <v>215</v>
      </c>
      <c r="P19" s="87" t="s">
        <v>147</v>
      </c>
      <c r="Q19" s="188" t="s">
        <v>215</v>
      </c>
      <c r="R19" s="87" t="s">
        <v>147</v>
      </c>
      <c r="S19" s="1504"/>
      <c r="T19" s="1506"/>
      <c r="U19" s="1518"/>
      <c r="V19" s="1508"/>
      <c r="W19" s="1514"/>
      <c r="X19" s="1516"/>
      <c r="Z19" s="188" t="s">
        <v>130</v>
      </c>
      <c r="AA19" s="189" t="s">
        <v>131</v>
      </c>
    </row>
    <row r="20" spans="1:27">
      <c r="A20" s="769"/>
      <c r="B20" s="770"/>
      <c r="C20" s="771"/>
      <c r="D20" s="772"/>
      <c r="E20" s="773"/>
      <c r="F20" s="774"/>
      <c r="G20" s="774"/>
      <c r="H20" s="774"/>
      <c r="I20" s="774"/>
      <c r="J20" s="775"/>
      <c r="K20" s="775"/>
      <c r="L20" s="775"/>
      <c r="M20" s="776"/>
      <c r="O20" s="789" t="e">
        <f t="shared" ref="O20:O38" si="0">IF($B20="Doorvoer op 26-1kV",FACTOR_DOORVOER,1)*($O$7*$F20+$O$8*$G20)</f>
        <v>#VALUE!</v>
      </c>
      <c r="P20" s="1226" t="e">
        <f t="shared" ref="P20:P38" si="1">IF($B20="Doorvoer op 26-1kV",FACTOR_DOORVOER,1)*($P$9*$H20)</f>
        <v>#VALUE!</v>
      </c>
      <c r="Q20" s="793" t="e">
        <f t="shared" ref="Q20:Q38" si="2">IF($B20="Doorvoer op 26-1kV",FACTOR_DOORVOER,1)*($Q$7*$F20+$Q$8*$G20)</f>
        <v>#VALUE!</v>
      </c>
      <c r="R20" s="1227" t="e">
        <f t="shared" ref="R20:R38" si="3">IF($B20="Doorvoer op 26-1kV",FACTOR_DOORVOER,1)*($R$9*$H20)</f>
        <v>#VALUE!</v>
      </c>
      <c r="S20" s="793" t="e">
        <f t="shared" ref="S20:S38" si="4">IF($B20="Doorvoer op 26-1kV",FACTOR_DOORVOER,1)*($S$10*($I20+$J20)+$S$11*$K20)</f>
        <v>#VALUE!</v>
      </c>
      <c r="T20" s="816" t="e">
        <f t="shared" ref="T20:T38" si="5">IF($B20="Doorvoer op 26-1kV",FACTOR_DOORVOER,1)*($T$10*($I20+$J20+$K20))</f>
        <v>#VALUE!</v>
      </c>
      <c r="U20" s="817" t="e">
        <f t="shared" ref="U20:U38" si="6">IF($B20="Doorvoer op 26-1kV",FACTOR_DOORVOER,1)*$U$10*($I20+$J20+$K20)</f>
        <v>#DIV/0!</v>
      </c>
      <c r="V20" s="817" t="e">
        <f t="shared" ref="V20:V38" si="7">IF($B20="Doorvoer op 26-1kV",FACTOR_DOORVOER,1)*$V$10*(($I20+$J20+$K20)-IF($D20="x",0.15*MAX($I20+$J20+$K20-20000,0)+0.05*MAX($I20+$J20+$K20-50000,0)+0.05*MAX($I20+$J20+$K20-1000000,0)+0.2*MAX($I20+$J20+$K20-25000000,0),0))</f>
        <v>#DIV/0!</v>
      </c>
      <c r="W20" s="791" t="e">
        <f t="shared" ref="W20:W38" si="8">IF($B20="Doorvoer op 26-1kV",FACTOR_DOORVOER,1)*(INDEX($W$12:$W$13,MATCH($E20,$N$12:$N$13,0)))</f>
        <v>#N/A</v>
      </c>
      <c r="X20" s="818" t="e">
        <f t="shared" ref="X20:X38" si="9">IF($B20="Doorvoer op 26-1kV",FACTOR_DOORVOER,1)*($X$14*($L20+$M20))</f>
        <v>#VALUE!</v>
      </c>
      <c r="Z20" s="812">
        <f t="shared" ref="Z20:Z38" si="10">IF($B20="Doorvoer op 26-1kV",FACTOR_DOORVOER,1)*$O$15*($I20+$J20+$K20)</f>
        <v>0</v>
      </c>
      <c r="AA20" s="813" t="e">
        <f>IF($C20="x",0,MAX(SUM($Q20,$S20:$V20)-$Z20,0))</f>
        <v>#VALUE!</v>
      </c>
    </row>
    <row r="21" spans="1:27">
      <c r="A21" s="777"/>
      <c r="B21" s="655"/>
      <c r="C21" s="778"/>
      <c r="D21" s="653"/>
      <c r="E21" s="779"/>
      <c r="F21" s="780"/>
      <c r="G21" s="780"/>
      <c r="H21" s="780"/>
      <c r="I21" s="780"/>
      <c r="J21" s="781"/>
      <c r="K21" s="781"/>
      <c r="L21" s="781"/>
      <c r="M21" s="782"/>
      <c r="O21" s="803" t="e">
        <f t="shared" si="0"/>
        <v>#VALUE!</v>
      </c>
      <c r="P21" s="798" t="e">
        <f t="shared" si="1"/>
        <v>#VALUE!</v>
      </c>
      <c r="Q21" s="799" t="e">
        <f t="shared" si="2"/>
        <v>#VALUE!</v>
      </c>
      <c r="R21" s="800" t="e">
        <f t="shared" si="3"/>
        <v>#VALUE!</v>
      </c>
      <c r="S21" s="799" t="e">
        <f t="shared" si="4"/>
        <v>#VALUE!</v>
      </c>
      <c r="T21" s="801" t="e">
        <f t="shared" si="5"/>
        <v>#VALUE!</v>
      </c>
      <c r="U21" s="798" t="e">
        <f t="shared" si="6"/>
        <v>#DIV/0!</v>
      </c>
      <c r="V21" s="1228" t="e">
        <f t="shared" si="7"/>
        <v>#DIV/0!</v>
      </c>
      <c r="W21" s="799" t="e">
        <f t="shared" si="8"/>
        <v>#N/A</v>
      </c>
      <c r="X21" s="802" t="e">
        <f t="shared" si="9"/>
        <v>#VALUE!</v>
      </c>
      <c r="Z21" s="803">
        <f t="shared" si="10"/>
        <v>0</v>
      </c>
      <c r="AA21" s="802" t="e">
        <f t="shared" ref="AA21:AA37"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 thickBot="1">
      <c r="A38" s="783"/>
      <c r="B38" s="658"/>
      <c r="C38" s="784"/>
      <c r="D38" s="644"/>
      <c r="E38" s="785"/>
      <c r="F38" s="786"/>
      <c r="G38" s="786"/>
      <c r="H38" s="786"/>
      <c r="I38" s="786"/>
      <c r="J38" s="787"/>
      <c r="K38" s="787"/>
      <c r="L38" s="787"/>
      <c r="M38" s="788"/>
      <c r="O38" s="805" t="e">
        <f t="shared" si="0"/>
        <v>#VALUE!</v>
      </c>
      <c r="P38" s="1229" t="e">
        <f t="shared" si="1"/>
        <v>#VALUE!</v>
      </c>
      <c r="Q38" s="1230" t="e">
        <f t="shared" si="2"/>
        <v>#VALUE!</v>
      </c>
      <c r="R38" s="1231" t="e">
        <f t="shared" si="3"/>
        <v>#VALUE!</v>
      </c>
      <c r="S38" s="1230" t="e">
        <f t="shared" si="4"/>
        <v>#VALUE!</v>
      </c>
      <c r="T38" s="1232" t="e">
        <f t="shared" si="5"/>
        <v>#VALUE!</v>
      </c>
      <c r="U38" s="819" t="e">
        <f t="shared" si="6"/>
        <v>#DIV/0!</v>
      </c>
      <c r="V38" s="1229" t="e">
        <f t="shared" si="7"/>
        <v>#DIV/0!</v>
      </c>
      <c r="W38" s="810" t="e">
        <f t="shared" si="8"/>
        <v>#N/A</v>
      </c>
      <c r="X38" s="814" t="e">
        <f t="shared" si="9"/>
        <v>#VALUE!</v>
      </c>
      <c r="Z38" s="805">
        <f t="shared" si="10"/>
        <v>0</v>
      </c>
      <c r="AA38" s="814" t="e">
        <f>IF($C38="x",0,MAX(SUM($Q38,$S38:$V38)-$Z38,0))</f>
        <v>#VALUE!</v>
      </c>
    </row>
    <row r="39" spans="1:27">
      <c r="A39" s="221"/>
      <c r="B39" s="594" t="s">
        <v>133</v>
      </c>
      <c r="C39" s="131"/>
      <c r="D39" s="222"/>
      <c r="E39" s="191">
        <f>COUNTIFS($B$20:$B$38,$B39)</f>
        <v>0</v>
      </c>
      <c r="F39" s="192">
        <f t="shared" ref="F39:M41" si="12">SUMIFS(F$20:F$38,$B$20:$B$38,$B39)</f>
        <v>0</v>
      </c>
      <c r="G39" s="192">
        <f t="shared" si="12"/>
        <v>0</v>
      </c>
      <c r="H39" s="192">
        <f t="shared" si="12"/>
        <v>0</v>
      </c>
      <c r="I39" s="192">
        <f t="shared" si="12"/>
        <v>0</v>
      </c>
      <c r="J39" s="384">
        <f t="shared" si="12"/>
        <v>0</v>
      </c>
      <c r="K39" s="384">
        <f t="shared" si="12"/>
        <v>0</v>
      </c>
      <c r="L39" s="384">
        <f t="shared" si="12"/>
        <v>0</v>
      </c>
      <c r="M39" s="193">
        <f t="shared" si="12"/>
        <v>0</v>
      </c>
      <c r="O39" s="214">
        <f t="shared" ref="O39:X41" si="13">SUMIFS(O$20:O$38,$B$20:$B$38,$B39)</f>
        <v>0</v>
      </c>
      <c r="P39" s="215">
        <f t="shared" si="13"/>
        <v>0</v>
      </c>
      <c r="Q39" s="89">
        <f t="shared" si="13"/>
        <v>0</v>
      </c>
      <c r="R39" s="91">
        <f>SUMIFS(R$20:R$38,$B$20:$B$38,$B39)</f>
        <v>0</v>
      </c>
      <c r="S39" s="89">
        <f t="shared" si="13"/>
        <v>0</v>
      </c>
      <c r="T39" s="90">
        <f t="shared" si="13"/>
        <v>0</v>
      </c>
      <c r="U39" s="90">
        <f t="shared" si="13"/>
        <v>0</v>
      </c>
      <c r="V39" s="215">
        <f t="shared" si="13"/>
        <v>0</v>
      </c>
      <c r="W39" s="89">
        <f t="shared" si="13"/>
        <v>0</v>
      </c>
      <c r="X39" s="194">
        <f t="shared" si="13"/>
        <v>0</v>
      </c>
      <c r="Z39" s="214"/>
      <c r="AA39" s="194">
        <f>SUMIFS(AA$20:AA$38,$B$20:$B$38,$B39)</f>
        <v>0</v>
      </c>
    </row>
    <row r="40" spans="1:27">
      <c r="A40" s="416"/>
      <c r="B40" s="388" t="s">
        <v>269</v>
      </c>
      <c r="C40" s="295"/>
      <c r="D40" s="417"/>
      <c r="E40" s="418">
        <f>COUNTIFS($B$20:$B$38,$B40)</f>
        <v>0</v>
      </c>
      <c r="F40" s="419">
        <f t="shared" si="12"/>
        <v>0</v>
      </c>
      <c r="G40" s="419">
        <f t="shared" si="12"/>
        <v>0</v>
      </c>
      <c r="H40" s="419">
        <f t="shared" si="12"/>
        <v>0</v>
      </c>
      <c r="I40" s="419">
        <f t="shared" si="12"/>
        <v>0</v>
      </c>
      <c r="J40" s="420">
        <f t="shared" si="12"/>
        <v>0</v>
      </c>
      <c r="K40" s="420">
        <f t="shared" si="12"/>
        <v>0</v>
      </c>
      <c r="L40" s="420">
        <f t="shared" si="12"/>
        <v>0</v>
      </c>
      <c r="M40" s="421">
        <f t="shared" si="12"/>
        <v>0</v>
      </c>
      <c r="O40" s="422">
        <f t="shared" si="13"/>
        <v>0</v>
      </c>
      <c r="P40" s="423">
        <f t="shared" si="13"/>
        <v>0</v>
      </c>
      <c r="Q40" s="595">
        <f t="shared" si="13"/>
        <v>0</v>
      </c>
      <c r="R40" s="596">
        <f t="shared" si="13"/>
        <v>0</v>
      </c>
      <c r="S40" s="595">
        <f t="shared" si="13"/>
        <v>0</v>
      </c>
      <c r="T40" s="424">
        <f t="shared" si="13"/>
        <v>0</v>
      </c>
      <c r="U40" s="424">
        <f t="shared" si="13"/>
        <v>0</v>
      </c>
      <c r="V40" s="423">
        <f t="shared" si="13"/>
        <v>0</v>
      </c>
      <c r="W40" s="595">
        <f t="shared" si="13"/>
        <v>0</v>
      </c>
      <c r="X40" s="425">
        <f t="shared" si="13"/>
        <v>0</v>
      </c>
      <c r="Z40" s="422"/>
      <c r="AA40" s="425">
        <f>SUMIFS(AA$20:AA$38,$B$20:$B$38,$B40)</f>
        <v>0</v>
      </c>
    </row>
    <row r="41" spans="1:27" ht="15" thickBot="1">
      <c r="A41" s="219"/>
      <c r="B41" s="218" t="s">
        <v>270</v>
      </c>
      <c r="C41" s="580"/>
      <c r="D41" s="220"/>
      <c r="E41" s="197">
        <f>COUNTIFS($B$20:$B$38,$B41)</f>
        <v>0</v>
      </c>
      <c r="F41" s="198">
        <f t="shared" si="12"/>
        <v>0</v>
      </c>
      <c r="G41" s="198">
        <f t="shared" si="12"/>
        <v>0</v>
      </c>
      <c r="H41" s="198">
        <f t="shared" si="12"/>
        <v>0</v>
      </c>
      <c r="I41" s="198">
        <f t="shared" si="12"/>
        <v>0</v>
      </c>
      <c r="J41" s="385">
        <f t="shared" si="12"/>
        <v>0</v>
      </c>
      <c r="K41" s="385">
        <f t="shared" si="12"/>
        <v>0</v>
      </c>
      <c r="L41" s="385">
        <f t="shared" si="12"/>
        <v>0</v>
      </c>
      <c r="M41" s="199">
        <f t="shared" si="12"/>
        <v>0</v>
      </c>
      <c r="O41" s="200">
        <f t="shared" si="13"/>
        <v>0</v>
      </c>
      <c r="P41" s="201">
        <f t="shared" si="13"/>
        <v>0</v>
      </c>
      <c r="Q41" s="96">
        <f t="shared" si="13"/>
        <v>0</v>
      </c>
      <c r="R41" s="98">
        <f t="shared" si="13"/>
        <v>0</v>
      </c>
      <c r="S41" s="96">
        <f t="shared" si="13"/>
        <v>0</v>
      </c>
      <c r="T41" s="97">
        <f t="shared" si="13"/>
        <v>0</v>
      </c>
      <c r="U41" s="97">
        <f t="shared" si="13"/>
        <v>0</v>
      </c>
      <c r="V41" s="201">
        <f t="shared" si="13"/>
        <v>0</v>
      </c>
      <c r="W41" s="96">
        <f t="shared" si="13"/>
        <v>0</v>
      </c>
      <c r="X41" s="202">
        <f t="shared" si="13"/>
        <v>0</v>
      </c>
      <c r="Z41" s="200"/>
      <c r="AA41" s="202">
        <f>SUMIFS(AA$20:AA$38,$B$20:$B$38,$B41)</f>
        <v>0</v>
      </c>
    </row>
    <row r="42" spans="1:27" ht="15" thickBot="1">
      <c r="A42" s="1495" t="s">
        <v>11</v>
      </c>
      <c r="B42" s="1496"/>
      <c r="C42" s="1497"/>
      <c r="D42" s="582"/>
      <c r="E42" s="216">
        <f>COUNT(E$20:E$38)</f>
        <v>0</v>
      </c>
      <c r="F42" s="217">
        <f t="shared" ref="F42:M42" si="14">SUM(F$20:F$38)</f>
        <v>0</v>
      </c>
      <c r="G42" s="217">
        <f t="shared" si="14"/>
        <v>0</v>
      </c>
      <c r="H42" s="217">
        <f t="shared" si="14"/>
        <v>0</v>
      </c>
      <c r="I42" s="217">
        <f t="shared" si="14"/>
        <v>0</v>
      </c>
      <c r="J42" s="386">
        <f t="shared" si="14"/>
        <v>0</v>
      </c>
      <c r="K42" s="386">
        <f t="shared" si="14"/>
        <v>0</v>
      </c>
      <c r="L42" s="386">
        <f t="shared" si="14"/>
        <v>0</v>
      </c>
      <c r="M42" s="203">
        <f t="shared" si="14"/>
        <v>0</v>
      </c>
      <c r="O42" s="204" t="e">
        <f>SUBTOTAL(109,O$20:O$38)</f>
        <v>#VALUE!</v>
      </c>
      <c r="P42" s="99" t="e">
        <f>SUBTOTAL(109,P$20:P$38)</f>
        <v>#VALUE!</v>
      </c>
      <c r="Q42" s="100" t="e">
        <f t="shared" ref="Q42:X42" si="15">SUBTOTAL(109,Q$20:Q$38)</f>
        <v>#VALUE!</v>
      </c>
      <c r="R42" s="102" t="e">
        <f t="shared" ref="R42:W42" si="16">SUBTOTAL(109,R$20:R$38)</f>
        <v>#VALUE!</v>
      </c>
      <c r="S42" s="382" t="e">
        <f t="shared" si="16"/>
        <v>#VALUE!</v>
      </c>
      <c r="T42" s="101" t="e">
        <f t="shared" si="16"/>
        <v>#VALUE!</v>
      </c>
      <c r="U42" s="101" t="e">
        <f t="shared" si="16"/>
        <v>#DIV/0!</v>
      </c>
      <c r="V42" s="99" t="e">
        <f t="shared" si="16"/>
        <v>#DIV/0!</v>
      </c>
      <c r="W42" s="382" t="e">
        <f t="shared" si="16"/>
        <v>#N/A</v>
      </c>
      <c r="X42" s="205" t="e">
        <f t="shared" si="15"/>
        <v>#VALUE!</v>
      </c>
      <c r="Z42" s="204"/>
      <c r="AA42" s="205" t="e">
        <f>SUBTOTAL(109,AA$20:AA$38)</f>
        <v>#VALUE!</v>
      </c>
    </row>
  </sheetData>
  <sheetProtection algorithmName="SHA-512" hashValue="DjIAw7StprvshlmMpylx83JbabokhVdUmSebPrRWaWhhroPiAWnoDmjuWCkIprSqBS9f7Ck4MTCyowqItjNAvA==" saltValue="CZkJGvvjVLaxGIEqeDVLyw==" spinCount="100000" sheet="1" objects="1" scenarios="1" insertRows="0" deleteRows="0" sort="0" autoFilter="0"/>
  <autoFilter ref="A19:AA19" xr:uid="{8BD703B0-6FFD-4543-A8E4-C3860B7BFDAE}"/>
  <mergeCells count="15">
    <mergeCell ref="W18:W19"/>
    <mergeCell ref="X18:X19"/>
    <mergeCell ref="Z18:AA18"/>
    <mergeCell ref="A42:C42"/>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E20:E38" xr:uid="{D8504A52-BEF5-4E28-A935-101FE55D7276}">
      <formula1>"AMR,MMR,DM - MR1,DM - MR3,KM"</formula1>
    </dataValidation>
    <dataValidation type="list" allowBlank="1" showInputMessage="1" showErrorMessage="1" sqref="B20:B38" xr:uid="{8E91284F-0579-4515-822B-7976F6DFD629}">
      <formula1>$B$39:$B$41</formula1>
    </dataValidation>
    <dataValidation type="list" allowBlank="1" showInputMessage="1" showErrorMessage="1" sqref="C20:D38" xr:uid="{C20C462F-1908-4FCE-9AA6-0144A5D1708F}">
      <formula1>"x"</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6C0-9B85-4643-8DDC-AB92814F8E8E}">
  <sheetPr published="0"/>
  <dimension ref="A1:AA40"/>
  <sheetViews>
    <sheetView workbookViewId="0">
      <selection activeCell="D4" sqref="D4:E4"/>
    </sheetView>
  </sheetViews>
  <sheetFormatPr defaultColWidth="20.7265625" defaultRowHeight="14.5"/>
  <cols>
    <col min="1" max="1" width="20.7265625" style="70"/>
    <col min="2" max="2" width="25.81640625" style="70" customWidth="1"/>
    <col min="3" max="24" width="20.7265625" style="70"/>
    <col min="25" max="25" width="5.7265625" style="70" customWidth="1"/>
    <col min="26" max="16384" width="20.7265625" style="70"/>
  </cols>
  <sheetData>
    <row r="1" spans="1:24" ht="30" customHeight="1" thickBot="1">
      <c r="A1" s="1425" t="s">
        <v>350</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675"/>
      <c r="C2" s="675"/>
      <c r="D2" s="675"/>
      <c r="E2" s="675"/>
      <c r="F2" s="675"/>
      <c r="G2" s="675"/>
      <c r="H2" s="675"/>
      <c r="I2" s="675"/>
      <c r="J2" s="675"/>
      <c r="K2" s="675"/>
      <c r="L2" s="675"/>
      <c r="M2" s="675"/>
      <c r="N2" s="675"/>
      <c r="O2" s="675"/>
      <c r="P2" s="675"/>
    </row>
    <row r="3" spans="1:24" ht="15" thickBot="1">
      <c r="B3" s="675"/>
      <c r="C3" s="675"/>
      <c r="D3" s="675"/>
      <c r="E3" s="675"/>
      <c r="F3" s="675"/>
      <c r="G3" s="675"/>
      <c r="H3" s="675"/>
      <c r="I3" s="675"/>
      <c r="J3" s="675"/>
      <c r="K3" s="675"/>
      <c r="L3" s="675"/>
      <c r="M3" s="675"/>
      <c r="N3" s="675"/>
      <c r="O3" s="675"/>
      <c r="P3" s="675"/>
    </row>
    <row r="4" spans="1:24" ht="15" thickBot="1">
      <c r="B4" s="129" t="s">
        <v>6</v>
      </c>
      <c r="C4" s="168"/>
      <c r="D4" s="1420" t="str">
        <f>DNB</f>
        <v>Naam distributienetbeheerder</v>
      </c>
      <c r="E4" s="1422"/>
      <c r="K4" s="168"/>
      <c r="L4" s="168"/>
      <c r="O4" s="675"/>
      <c r="P4" s="675"/>
    </row>
    <row r="6" spans="1:24" ht="15" thickBot="1"/>
    <row r="7" spans="1:24" ht="16.5">
      <c r="M7" s="1528" t="s">
        <v>152</v>
      </c>
      <c r="N7" s="820" t="s">
        <v>110</v>
      </c>
      <c r="O7" s="821" t="e">
        <f>INDEX(Tabel3B[Afnameklanten op TRLS (∑)],1)</f>
        <v>#VALUE!</v>
      </c>
      <c r="P7" s="822"/>
      <c r="Q7" s="823" t="e">
        <f>$O$7*$Q$16</f>
        <v>#VALUE!</v>
      </c>
      <c r="R7" s="822"/>
      <c r="S7" s="822"/>
      <c r="T7" s="822"/>
      <c r="U7" s="824"/>
      <c r="V7" s="824"/>
      <c r="W7" s="825"/>
      <c r="X7" s="826"/>
    </row>
    <row r="8" spans="1:24" ht="16.5">
      <c r="M8" s="1529"/>
      <c r="N8" s="827" t="s">
        <v>111</v>
      </c>
      <c r="O8" s="828" t="e">
        <f>INDEX(Tabel3B[Afnameklanten op TRLS (∑)],2)</f>
        <v>#VALUE!</v>
      </c>
      <c r="P8" s="829"/>
      <c r="Q8" s="830" t="e">
        <f>$O$8*$Q$16</f>
        <v>#VALUE!</v>
      </c>
      <c r="R8" s="829"/>
      <c r="S8" s="829"/>
      <c r="T8" s="829"/>
      <c r="U8" s="831"/>
      <c r="V8" s="831"/>
      <c r="W8" s="832"/>
      <c r="X8" s="833"/>
    </row>
    <row r="9" spans="1:24" ht="16.5">
      <c r="M9" s="1529"/>
      <c r="N9" s="827" t="s">
        <v>112</v>
      </c>
      <c r="O9" s="832"/>
      <c r="P9" s="834" t="e">
        <f>INDEX(Tabel3B[Afnameklanten op TRLS (∑)],3)</f>
        <v>#VALUE!</v>
      </c>
      <c r="Q9" s="829"/>
      <c r="R9" s="830" t="e">
        <f>$P$9*$Q$16</f>
        <v>#VALUE!</v>
      </c>
      <c r="S9" s="829"/>
      <c r="T9" s="829"/>
      <c r="U9" s="831"/>
      <c r="V9" s="831"/>
      <c r="W9" s="832"/>
      <c r="X9" s="833"/>
    </row>
    <row r="10" spans="1:24" ht="16.5">
      <c r="M10" s="1529"/>
      <c r="N10" s="827" t="s">
        <v>115</v>
      </c>
      <c r="O10" s="835"/>
      <c r="P10" s="836"/>
      <c r="Q10" s="836"/>
      <c r="R10" s="836"/>
      <c r="S10" s="837" t="e">
        <f>INDEX(Tabel3B[Afnameklanten op TRLS (∑)],15)</f>
        <v>#VALUE!</v>
      </c>
      <c r="T10" s="837" t="e">
        <f>INDEX(Tabel3B[Afnameklanten op TRLS (∑)],17)</f>
        <v>#VALUE!</v>
      </c>
      <c r="U10" s="838" t="e">
        <f>INDEX(Tabel3B[Afnameklanten op TRLS (∑)],19)</f>
        <v>#DIV/0!</v>
      </c>
      <c r="V10" s="838" t="e">
        <f>INDEX(Tabel3B[Afnameklanten op TRLS (∑)],20)</f>
        <v>#DIV/0!</v>
      </c>
      <c r="W10" s="832"/>
      <c r="X10" s="833"/>
    </row>
    <row r="11" spans="1:24" ht="16.5">
      <c r="M11" s="1529"/>
      <c r="N11" s="827" t="s">
        <v>218</v>
      </c>
      <c r="O11" s="835"/>
      <c r="P11" s="836"/>
      <c r="Q11" s="836"/>
      <c r="R11" s="836"/>
      <c r="S11" s="837" t="e">
        <f>INDEX(Tabel3B[Afnameklanten op TRLS (∑)],16)</f>
        <v>#VALUE!</v>
      </c>
      <c r="T11" s="836"/>
      <c r="U11" s="839"/>
      <c r="V11" s="839"/>
      <c r="W11" s="832"/>
      <c r="X11" s="833"/>
    </row>
    <row r="12" spans="1:24">
      <c r="M12" s="1529"/>
      <c r="N12" s="840" t="s">
        <v>7</v>
      </c>
      <c r="O12" s="832"/>
      <c r="P12" s="829"/>
      <c r="Q12" s="829"/>
      <c r="R12" s="829"/>
      <c r="S12" s="829"/>
      <c r="T12" s="829"/>
      <c r="U12" s="831"/>
      <c r="V12" s="841"/>
      <c r="W12" s="842" t="e">
        <f>INDEX(Tabel3B[Afnameklanten op TRLS (∑)],9)</f>
        <v>#DIV/0!</v>
      </c>
      <c r="X12" s="833"/>
    </row>
    <row r="13" spans="1:24">
      <c r="M13" s="1529"/>
      <c r="N13" s="843" t="s">
        <v>8</v>
      </c>
      <c r="O13" s="832"/>
      <c r="P13" s="829"/>
      <c r="Q13" s="829"/>
      <c r="R13" s="829"/>
      <c r="S13" s="829"/>
      <c r="T13" s="829"/>
      <c r="U13" s="831"/>
      <c r="V13" s="841"/>
      <c r="W13" s="842" t="e">
        <f>INDEX(Tabel3B[Afnameklanten op TRLS (∑)],10)</f>
        <v>#DIV/0!</v>
      </c>
      <c r="X13" s="833"/>
    </row>
    <row r="14" spans="1:24" ht="15" thickBot="1">
      <c r="M14" s="1529"/>
      <c r="N14" s="844" t="s">
        <v>197</v>
      </c>
      <c r="O14" s="832"/>
      <c r="P14" s="829"/>
      <c r="Q14" s="829"/>
      <c r="R14" s="829"/>
      <c r="S14" s="829"/>
      <c r="T14" s="829"/>
      <c r="U14" s="831"/>
      <c r="V14" s="841"/>
      <c r="W14" s="832"/>
      <c r="X14" s="845" t="e">
        <f>INDEX(Tabel3B[Afnameklanten op TRLS (∑)],8)</f>
        <v>#VALUE!</v>
      </c>
    </row>
    <row r="15" spans="1:24" ht="30" customHeight="1" thickBot="1">
      <c r="M15" s="1529"/>
      <c r="N15" s="846" t="s">
        <v>130</v>
      </c>
      <c r="O15" s="1500">
        <v>0</v>
      </c>
      <c r="P15" s="1501"/>
      <c r="Q15" s="1501"/>
      <c r="R15" s="1501"/>
      <c r="S15" s="1501"/>
      <c r="T15" s="1501"/>
      <c r="U15" s="1502"/>
      <c r="V15" s="1502"/>
      <c r="W15" s="847"/>
      <c r="X15" s="848"/>
    </row>
    <row r="16" spans="1:24" ht="30" customHeight="1" thickBot="1">
      <c r="M16" s="1530"/>
      <c r="N16" s="849" t="s">
        <v>136</v>
      </c>
      <c r="O16" s="850"/>
      <c r="P16" s="851"/>
      <c r="Q16" s="1531">
        <f>PROCENT_VERHOGING_NA_MAX</f>
        <v>1</v>
      </c>
      <c r="R16" s="1531"/>
      <c r="S16" s="851"/>
      <c r="T16" s="851"/>
      <c r="U16" s="852"/>
      <c r="V16" s="852"/>
      <c r="W16" s="853"/>
      <c r="X16" s="854"/>
    </row>
    <row r="17" spans="1:27" ht="15" thickBot="1"/>
    <row r="18" spans="1:27" ht="30" customHeight="1" thickBot="1">
      <c r="O18" s="1523" t="s">
        <v>137</v>
      </c>
      <c r="P18" s="1532"/>
      <c r="Q18" s="1533" t="s">
        <v>140</v>
      </c>
      <c r="R18" s="1534"/>
      <c r="S18" s="1535" t="s">
        <v>85</v>
      </c>
      <c r="T18" s="1537" t="s">
        <v>9</v>
      </c>
      <c r="U18" s="1541" t="s">
        <v>562</v>
      </c>
      <c r="V18" s="1539" t="s">
        <v>561</v>
      </c>
      <c r="W18" s="1519" t="s">
        <v>84</v>
      </c>
      <c r="X18" s="1521" t="s">
        <v>13</v>
      </c>
      <c r="Z18" s="1523" t="s">
        <v>138</v>
      </c>
      <c r="AA18" s="1524"/>
    </row>
    <row r="19" spans="1:27" ht="17" thickBot="1">
      <c r="A19" s="855" t="s">
        <v>146</v>
      </c>
      <c r="B19" s="856" t="s">
        <v>107</v>
      </c>
      <c r="C19" s="857" t="s">
        <v>214</v>
      </c>
      <c r="D19" s="858" t="s">
        <v>563</v>
      </c>
      <c r="E19" s="859" t="s">
        <v>25</v>
      </c>
      <c r="F19" s="860" t="s">
        <v>110</v>
      </c>
      <c r="G19" s="860" t="s">
        <v>111</v>
      </c>
      <c r="H19" s="860" t="s">
        <v>112</v>
      </c>
      <c r="I19" s="860" t="s">
        <v>343</v>
      </c>
      <c r="J19" s="861" t="s">
        <v>344</v>
      </c>
      <c r="K19" s="861" t="s">
        <v>345</v>
      </c>
      <c r="L19" s="861" t="s">
        <v>346</v>
      </c>
      <c r="M19" s="862" t="s">
        <v>347</v>
      </c>
      <c r="O19" s="863" t="s">
        <v>215</v>
      </c>
      <c r="P19" s="864" t="s">
        <v>147</v>
      </c>
      <c r="Q19" s="863" t="s">
        <v>215</v>
      </c>
      <c r="R19" s="864" t="s">
        <v>147</v>
      </c>
      <c r="S19" s="1536"/>
      <c r="T19" s="1538"/>
      <c r="U19" s="1542"/>
      <c r="V19" s="1540"/>
      <c r="W19" s="1520"/>
      <c r="X19" s="1522"/>
      <c r="Z19" s="863" t="s">
        <v>130</v>
      </c>
      <c r="AA19" s="865" t="s">
        <v>131</v>
      </c>
    </row>
    <row r="20" spans="1:27">
      <c r="A20" s="769"/>
      <c r="B20" s="770"/>
      <c r="C20" s="771"/>
      <c r="D20" s="772"/>
      <c r="E20" s="773"/>
      <c r="F20" s="774"/>
      <c r="G20" s="774"/>
      <c r="H20" s="774"/>
      <c r="I20" s="774"/>
      <c r="J20" s="775"/>
      <c r="K20" s="775"/>
      <c r="L20" s="775"/>
      <c r="M20" s="776"/>
      <c r="O20" s="812" t="e">
        <f>$O$7*$F20+$O$8*$G20</f>
        <v>#VALUE!</v>
      </c>
      <c r="P20" s="891" t="e">
        <f>$P$9*$H20</f>
        <v>#VALUE!</v>
      </c>
      <c r="Q20" s="791" t="e">
        <f>$Q$7*$F20+$Q$8*$G20</f>
        <v>#VALUE!</v>
      </c>
      <c r="R20" s="892" t="e">
        <f>$R$9*$H20</f>
        <v>#VALUE!</v>
      </c>
      <c r="S20" s="793" t="e">
        <f>$S$10*($I20+$J20)+$S$11*$K20</f>
        <v>#VALUE!</v>
      </c>
      <c r="T20" s="816" t="e">
        <f>$T$10*($I20+$J20+$K20)</f>
        <v>#VALUE!</v>
      </c>
      <c r="U20" s="816" t="e">
        <f>$U$10*($I20+$J20+$K20)</f>
        <v>#DIV/0!</v>
      </c>
      <c r="V20" s="817"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#VALUE!</v>
      </c>
    </row>
    <row r="21" spans="1:27">
      <c r="A21" s="777"/>
      <c r="B21" s="655"/>
      <c r="C21" s="778"/>
      <c r="D21" s="653"/>
      <c r="E21" s="779"/>
      <c r="F21" s="780"/>
      <c r="G21" s="780"/>
      <c r="H21" s="780"/>
      <c r="I21" s="780"/>
      <c r="J21" s="781"/>
      <c r="K21" s="781"/>
      <c r="L21" s="781"/>
      <c r="M21" s="782"/>
      <c r="O21" s="803" t="e">
        <f t="shared" ref="O21:O37" si="0">$O$7*$F21+$O$8*$G21</f>
        <v>#VALUE!</v>
      </c>
      <c r="P21" s="798" t="e">
        <f t="shared" ref="P21:P37" si="1">$P$9*$H21</f>
        <v>#VALUE!</v>
      </c>
      <c r="Q21" s="799" t="e">
        <f t="shared" ref="Q21:Q37" si="2">$Q$7*$F21+$Q$8*$G21</f>
        <v>#VALUE!</v>
      </c>
      <c r="R21" s="800" t="e">
        <f t="shared" ref="R21:R37" si="3">$R$9*$H21</f>
        <v>#VALUE!</v>
      </c>
      <c r="S21" s="799" t="e">
        <f t="shared" ref="S21:S37" si="4">$S$10*($I21+$J21)+$S$11*$K21</f>
        <v>#VALUE!</v>
      </c>
      <c r="T21" s="801" t="e">
        <f t="shared" ref="T21:T37" si="5">$T$10*($I21+$J21+$K21)</f>
        <v>#VALUE!</v>
      </c>
      <c r="U21" s="798" t="e">
        <f t="shared" ref="U21:U37" si="6">$U$10*($I21+$J21+$K21)</f>
        <v>#DIV/0!</v>
      </c>
      <c r="V21" s="798" t="e">
        <f t="shared" ref="V21:V37" si="7">$V$10*(($I21+$J21+$K21)-IF($D21="x",0.15*MAX($I21+$J21+$K21-20000,0)+0.05*MAX($I21+$J21+$K21-50000,0)+0.05*MAX($I21+$J21+$K21-1000000,0)+0.2*MAX($I21+$J21+$K21-25000000,0),0))</f>
        <v>#DIV/0!</v>
      </c>
      <c r="W21" s="799" t="e">
        <f t="shared" ref="W21:W37" si="8">INDEX($W$12:$W$13,MATCH($E21,$N$12:$N$13,0))</f>
        <v>#N/A</v>
      </c>
      <c r="X21" s="802" t="e">
        <f t="shared" ref="X21:X37" si="9">$X$14*($L21+$M21)</f>
        <v>#VALUE!</v>
      </c>
      <c r="Z21" s="803">
        <f t="shared" ref="Z21:Z38" si="10">$O$15*($I21+$J21+$K21)</f>
        <v>0</v>
      </c>
      <c r="AA21" s="802" t="e">
        <f t="shared" ref="AA21:AA38"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 thickBot="1">
      <c r="A38" s="783"/>
      <c r="B38" s="658"/>
      <c r="C38" s="784"/>
      <c r="D38" s="644"/>
      <c r="E38" s="785"/>
      <c r="F38" s="786"/>
      <c r="G38" s="786"/>
      <c r="H38" s="786"/>
      <c r="I38" s="786"/>
      <c r="J38" s="787"/>
      <c r="K38" s="787"/>
      <c r="L38" s="787"/>
      <c r="M38" s="788"/>
      <c r="O38" s="805" t="e">
        <f>$O$7*$F38+$O$8*$G38</f>
        <v>#VALUE!</v>
      </c>
      <c r="P38" s="819" t="e">
        <f>$P$9*$H38</f>
        <v>#VALUE!</v>
      </c>
      <c r="Q38" s="810" t="e">
        <f>$Q$7*$F38+$Q$8*$G38</f>
        <v>#VALUE!</v>
      </c>
      <c r="R38" s="893" t="e">
        <f>$R$9*$H38</f>
        <v>#VALUE!</v>
      </c>
      <c r="S38" s="810" t="e">
        <f>$S$10*($I38+$J38)+$S$11*$K38</f>
        <v>#VALUE!</v>
      </c>
      <c r="T38" s="894" t="e">
        <f>$T$10*($I38+$J38+$K38)</f>
        <v>#VALUE!</v>
      </c>
      <c r="U38" s="819" t="e">
        <f>$U$10*($I38+$J38+$K38)</f>
        <v>#DIV/0!</v>
      </c>
      <c r="V38" s="819" t="e">
        <f>$V$10*(($I38+$J38+$K38)-IF($D38="x",0.15*MAX($I38+$J38+$K38-20000,0)+0.05*MAX($I38+$J38+$K38-50000,0)+0.05*MAX($I38+$J38+$K38-1000000,0)+0.2*MAX($I38+$J38+$K38-25000000,0),0))</f>
        <v>#DIV/0!</v>
      </c>
      <c r="W38" s="810" t="e">
        <f>INDEX($W$12:$W$13,MATCH($E38,$N$12:$N$13,0))</f>
        <v>#N/A</v>
      </c>
      <c r="X38" s="814" t="e">
        <f>$X$14*($L38+$M38)</f>
        <v>#VALUE!</v>
      </c>
      <c r="Z38" s="805">
        <f t="shared" si="10"/>
        <v>0</v>
      </c>
      <c r="AA38" s="814" t="e">
        <f t="shared" si="11"/>
        <v>#VALUE!</v>
      </c>
    </row>
    <row r="39" spans="1:27" ht="15" thickBot="1">
      <c r="A39" s="869"/>
      <c r="B39" s="870" t="s">
        <v>103</v>
      </c>
      <c r="C39" s="685"/>
      <c r="D39" s="871"/>
      <c r="E39" s="872">
        <f>COUNTIFS($B$20:$B$38,$B39)</f>
        <v>0</v>
      </c>
      <c r="F39" s="873">
        <f>SUMIFS(F$20:F$38,$B$20:$B$38,$B39)</f>
        <v>0</v>
      </c>
      <c r="G39" s="873">
        <f t="shared" ref="G39:M39" si="12">SUMIFS(G$20:G$38,$B$20:$B$38,$B39)</f>
        <v>0</v>
      </c>
      <c r="H39" s="873">
        <f t="shared" si="12"/>
        <v>0</v>
      </c>
      <c r="I39" s="873">
        <f t="shared" si="12"/>
        <v>0</v>
      </c>
      <c r="J39" s="874">
        <f t="shared" si="12"/>
        <v>0</v>
      </c>
      <c r="K39" s="874">
        <f t="shared" si="12"/>
        <v>0</v>
      </c>
      <c r="L39" s="874">
        <f t="shared" si="12"/>
        <v>0</v>
      </c>
      <c r="M39" s="875">
        <f t="shared" si="12"/>
        <v>0</v>
      </c>
      <c r="O39" s="876">
        <f t="shared" ref="O39:T39" si="13">SUMIFS(O$20:O$38,$B$20:$B$38,$B39)</f>
        <v>0</v>
      </c>
      <c r="P39" s="877">
        <f t="shared" si="13"/>
        <v>0</v>
      </c>
      <c r="Q39" s="866">
        <f t="shared" si="13"/>
        <v>0</v>
      </c>
      <c r="R39" s="867">
        <f t="shared" si="13"/>
        <v>0</v>
      </c>
      <c r="S39" s="866">
        <f t="shared" si="13"/>
        <v>0</v>
      </c>
      <c r="T39" s="878">
        <f t="shared" si="13"/>
        <v>0</v>
      </c>
      <c r="U39" s="877"/>
      <c r="V39" s="877">
        <f>SUMIFS(V$20:V$38,$B$20:$B$38,$B39)</f>
        <v>0</v>
      </c>
      <c r="W39" s="866">
        <f>SUMIFS(W$20:W$38,$B$20:$B$38,$B39)</f>
        <v>0</v>
      </c>
      <c r="X39" s="868">
        <f>SUMIFS(X$20:X$38,$B$20:$B$38,$B39)</f>
        <v>0</v>
      </c>
      <c r="Z39" s="876"/>
      <c r="AA39" s="868">
        <f>SUMIFS(AA$20:AA$38,$B$20:$B$38,$B39)</f>
        <v>0</v>
      </c>
    </row>
    <row r="40" spans="1:27" ht="15" thickBot="1">
      <c r="A40" s="1525" t="s">
        <v>11</v>
      </c>
      <c r="B40" s="1526"/>
      <c r="C40" s="1527"/>
      <c r="D40" s="879"/>
      <c r="E40" s="880">
        <f>COUNT(E$20:E$38)</f>
        <v>0</v>
      </c>
      <c r="F40" s="881">
        <f>SUM(F$20:F$38)</f>
        <v>0</v>
      </c>
      <c r="G40" s="881">
        <f t="shared" ref="G40:M40" si="14">SUM(G$20:G$38)</f>
        <v>0</v>
      </c>
      <c r="H40" s="881">
        <f t="shared" si="14"/>
        <v>0</v>
      </c>
      <c r="I40" s="881">
        <f t="shared" si="14"/>
        <v>0</v>
      </c>
      <c r="J40" s="882">
        <f t="shared" si="14"/>
        <v>0</v>
      </c>
      <c r="K40" s="882">
        <f t="shared" si="14"/>
        <v>0</v>
      </c>
      <c r="L40" s="882">
        <f t="shared" si="14"/>
        <v>0</v>
      </c>
      <c r="M40" s="883">
        <f t="shared" si="14"/>
        <v>0</v>
      </c>
      <c r="O40" s="884" t="e">
        <f t="shared" ref="O40:X40" si="15">SUBTOTAL(109,O$20:O$38)</f>
        <v>#VALUE!</v>
      </c>
      <c r="P40" s="885" t="e">
        <f t="shared" si="15"/>
        <v>#VALUE!</v>
      </c>
      <c r="Q40" s="886" t="e">
        <f t="shared" si="15"/>
        <v>#VALUE!</v>
      </c>
      <c r="R40" s="887" t="e">
        <f t="shared" si="15"/>
        <v>#VALUE!</v>
      </c>
      <c r="S40" s="888" t="e">
        <f t="shared" si="15"/>
        <v>#VALUE!</v>
      </c>
      <c r="T40" s="889" t="e">
        <f t="shared" si="15"/>
        <v>#VALUE!</v>
      </c>
      <c r="U40" s="885"/>
      <c r="V40" s="885" t="e">
        <f t="shared" si="15"/>
        <v>#DIV/0!</v>
      </c>
      <c r="W40" s="888" t="e">
        <f t="shared" si="15"/>
        <v>#N/A</v>
      </c>
      <c r="X40" s="890" t="e">
        <f t="shared" si="15"/>
        <v>#VALUE!</v>
      </c>
      <c r="Z40" s="884"/>
      <c r="AA40" s="890" t="e">
        <f>SUBTOTAL(109,AA$20:AA$38)</f>
        <v>#VALUE!</v>
      </c>
    </row>
  </sheetData>
  <sheetProtection algorithmName="SHA-512" hashValue="HlMvQ9Q5KzEQtbf9uwRpmstBtAMTEdEOjCWPq6ZQLyemoxgv1QsAMGIHvhgvT5poyoKvHZcCRLz9I67M3kewcg==" saltValue="Tuo5gz7w/IxxSVDcGUAIGg==" spinCount="100000" sheet="1" objects="1" scenarios="1" insertRows="0" deleteRows="0" sort="0" autoFilter="0"/>
  <autoFilter ref="A19:AA19" xr:uid="{2CFE32BB-5378-4DF4-BFB3-4B987FE4E2D6}"/>
  <mergeCells count="15">
    <mergeCell ref="W18:W19"/>
    <mergeCell ref="X18:X19"/>
    <mergeCell ref="Z18:AA18"/>
    <mergeCell ref="A40:C40"/>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C20:D38" xr:uid="{3B572549-0B83-4551-A1EF-2F0460B59CFB}">
      <formula1>"x"</formula1>
    </dataValidation>
    <dataValidation type="list" allowBlank="1" showInputMessage="1" showErrorMessage="1" sqref="E20:E38" xr:uid="{203E0612-C06D-4AE8-B599-431B813E1744}">
      <formula1>"AMR,MMR,DM - MR1,DM - MR3,KM"</formula1>
    </dataValidation>
    <dataValidation type="list" allowBlank="1" showInputMessage="1" showErrorMessage="1" sqref="B20:B38" xr:uid="{A56CCC02-0FB3-4DDB-81C1-29C632741089}">
      <formula1>$B$39:$B$39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Props1.xml><?xml version="1.0" encoding="utf-8"?>
<ds:datastoreItem xmlns:ds="http://schemas.openxmlformats.org/officeDocument/2006/customXml" ds:itemID="{16282EBC-10FE-44A4-A37C-37BAF5679D71}">
  <ds:schemaRefs>
    <ds:schemaRef ds:uri="http://schemas.microsoft.com/sharepoint/v3/contenttype/forms"/>
  </ds:schemaRefs>
</ds:datastoreItem>
</file>

<file path=customXml/itemProps2.xml><?xml version="1.0" encoding="utf-8"?>
<ds:datastoreItem xmlns:ds="http://schemas.openxmlformats.org/officeDocument/2006/customXml" ds:itemID="{04555C23-9EA1-48AB-B86C-B958BBA4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67B6ED-D559-4527-8ECD-C63CEDA5F615}">
  <ds:schemaRefs>
    <ds:schemaRef ds:uri="http://schemas.microsoft.com/office/infopath/2007/PartnerControls"/>
    <ds:schemaRef ds:uri="3f81be05-3666-4a6d-a1ba-3aeea25578fa"/>
    <ds:schemaRef ds:uri="http://purl.org/dc/elements/1.1/"/>
    <ds:schemaRef ds:uri="http://schemas.microsoft.com/office/2006/metadata/properties"/>
    <ds:schemaRef ds:uri="dc27eef4-d356-41e1-bcf3-2711032fb09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32</vt:i4>
      </vt:variant>
      <vt:variant>
        <vt:lpstr>Benoemde bereiken</vt:lpstr>
      </vt:variant>
      <vt:variant>
        <vt:i4>45</vt:i4>
      </vt:variant>
    </vt:vector>
  </HeadingPairs>
  <TitlesOfParts>
    <vt:vector size="77" baseType="lpstr">
      <vt:lpstr>TITELBLAD</vt:lpstr>
      <vt:lpstr>--&gt; ELEKTRICITEIT</vt:lpstr>
      <vt:lpstr>ASSUMPTIES</vt:lpstr>
      <vt:lpstr>VERDEELSLEUTELS</vt:lpstr>
      <vt:lpstr>REKENVOLUMES</vt:lpstr>
      <vt:lpstr>MAXIMUM</vt:lpstr>
      <vt:lpstr>Max Afname TRHS</vt:lpstr>
      <vt:lpstr>Max Afname MS</vt:lpstr>
      <vt:lpstr>Max Afname TRLS</vt:lpstr>
      <vt:lpstr>Max Afname LS</vt:lpstr>
      <vt:lpstr>Max Injectie</vt:lpstr>
      <vt:lpstr>T1</vt:lpstr>
      <vt:lpstr>T2</vt:lpstr>
      <vt:lpstr>T3</vt:lpstr>
      <vt:lpstr>T4</vt:lpstr>
      <vt:lpstr>--&gt; AARDGAS</vt:lpstr>
      <vt:lpstr>T5</vt:lpstr>
      <vt:lpstr>T6</vt:lpstr>
      <vt:lpstr>T7</vt:lpstr>
      <vt:lpstr>T8</vt:lpstr>
      <vt:lpstr>--&gt; TARIEFLIJSTEN</vt:lpstr>
      <vt:lpstr>ELEK Afname</vt:lpstr>
      <vt:lpstr>ELEK Afname Trans HS</vt:lpstr>
      <vt:lpstr>ELEK Afname &gt;26-36 kV</vt:lpstr>
      <vt:lpstr>ELEK Afname 26-1 kV</vt:lpstr>
      <vt:lpstr>ELEK Afname Trans LS</vt:lpstr>
      <vt:lpstr>ELEK Afname LS</vt:lpstr>
      <vt:lpstr>ELEK Afname Doorvoer</vt:lpstr>
      <vt:lpstr>ELEK Injectie</vt:lpstr>
      <vt:lpstr>GAS Afname</vt:lpstr>
      <vt:lpstr>GAS Injectie</vt:lpstr>
      <vt:lpstr>Werkblad</vt:lpstr>
      <vt:lpstr>TITELBLAD!_ftnref3</vt:lpstr>
      <vt:lpstr>'T5'!Afdrukbereik</vt:lpstr>
      <vt:lpstr>'T6'!Afdrukbereik</vt:lpstr>
      <vt:lpstr>'T8'!Afdrukbereik</vt:lpstr>
      <vt:lpstr>TITELBLAD!Afdrukbereik</vt:lpstr>
      <vt:lpstr>B2020_ODV_TRHS</vt:lpstr>
      <vt:lpstr>B2020_TOE_TRHS</vt:lpstr>
      <vt:lpstr>BEGINJAAR</vt:lpstr>
      <vt:lpstr>CPI_2020</vt:lpstr>
      <vt:lpstr>CPI_JAARMIN1</vt:lpstr>
      <vt:lpstr>DIM_OMV</vt:lpstr>
      <vt:lpstr>DNB</vt:lpstr>
      <vt:lpstr>EINDJAAR</vt:lpstr>
      <vt:lpstr>FACTOR_DOORVOER</vt:lpstr>
      <vt:lpstr>FACTOR_MP_TV</vt:lpstr>
      <vt:lpstr>FACTOR_OST</vt:lpstr>
      <vt:lpstr>FACTOR_VAST</vt:lpstr>
      <vt:lpstr>JAAR</vt:lpstr>
      <vt:lpstr>Keuze_Kostenindeling1</vt:lpstr>
      <vt:lpstr>Keuze_Kostenindeling2</vt:lpstr>
      <vt:lpstr>Keuze_Kostenindeling3</vt:lpstr>
      <vt:lpstr>Keuze_Kostenindeling4</vt:lpstr>
      <vt:lpstr>Keuze_Subactiviteit</vt:lpstr>
      <vt:lpstr>Keuze_TariefcomponentN</vt:lpstr>
      <vt:lpstr>KORTING_XN</vt:lpstr>
      <vt:lpstr>MAXTOENAME_TRHS</vt:lpstr>
      <vt:lpstr>OMVORMERVERMOGEN</vt:lpstr>
      <vt:lpstr>ONDERNEMINGSNUMMER</vt:lpstr>
      <vt:lpstr>PROCENT_GEMMP</vt:lpstr>
      <vt:lpstr>PROCENT_KWH</vt:lpstr>
      <vt:lpstr>PROCENT_MP</vt:lpstr>
      <vt:lpstr>PROCENT_TV</vt:lpstr>
      <vt:lpstr>PROCENT_VERHOGING_NA_MAX</vt:lpstr>
      <vt:lpstr>TAR_DATA_LSMR1_2021</vt:lpstr>
      <vt:lpstr>TAR_DATA_LSMR3_2021</vt:lpstr>
      <vt:lpstr>TAR_DATA_NIETLS_2021</vt:lpstr>
      <vt:lpstr>TAR_DATA_PROD_2021</vt:lpstr>
      <vt:lpstr>TAR_ODV_GSC</vt:lpstr>
      <vt:lpstr>TAR_ODV_HEWKK</vt:lpstr>
      <vt:lpstr>TAR_ODV_REG</vt:lpstr>
      <vt:lpstr>TAR_ODV_RESERVE</vt:lpstr>
      <vt:lpstr>TAR_ODV_WIND</vt:lpstr>
      <vt:lpstr>TAR_TOE_MASTEN</vt:lpstr>
      <vt:lpstr>VOLLASTUREN</vt:lpstr>
      <vt:lpstr>ZELFCONSUMPTIE</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Fanny Schoevaerts</cp:lastModifiedBy>
  <cp:lastPrinted>2016-03-21T12:54:43Z</cp:lastPrinted>
  <dcterms:created xsi:type="dcterms:W3CDTF">2014-06-04T07:25:01Z</dcterms:created>
  <dcterms:modified xsi:type="dcterms:W3CDTF">2021-06-28T10:27:08Z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