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2.xml" ContentType="application/vnd.openxmlformats-officedocument.drawing+xml"/>
  <Override PartName="/xl/tables/table4.xml" ContentType="application/vnd.openxmlformats-officedocument.spreadsheetml.table+xml"/>
  <Override PartName="/xl/drawings/drawing3.xml" ContentType="application/vnd.openxmlformats-officedocument.drawing+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codeName="ThisWorkbook"/>
  <mc:AlternateContent xmlns:mc="http://schemas.openxmlformats.org/markup-compatibility/2006">
    <mc:Choice Requires="x15">
      <x15ac:absPath xmlns:x15ac="http://schemas.microsoft.com/office/spreadsheetml/2010/11/ac" url="https://o365vreg.sharepoint.com/sites/KT_Tariefregulering/Gedeelde  documenten/Consultaties/2021 Q2 timing cap tarief/2 consultatietekst/"/>
    </mc:Choice>
  </mc:AlternateContent>
  <xr:revisionPtr revIDLastSave="2962" documentId="8_{C7E3397E-7AA2-4CC6-A60D-A248D745C555}" xr6:coauthVersionLast="45" xr6:coauthVersionMax="45" xr10:uidLastSave="{C0F14C1B-4C2C-493C-A513-1A34B3F8CE7F}"/>
  <workbookProtection workbookAlgorithmName="SHA-512" workbookHashValue="Hiy1D16ZoTDz2ZveROtLqz0sV/nsggdwjsWy2d2EvjNmEylTkKRnKhnI7MpucCfGIARfDPp2yf9yM5QE0Sn+1Q==" workbookSaltValue="R0ehyxzBvdZZzVvCVA6wGA==" workbookSpinCount="100000" lockStructure="1"/>
  <bookViews>
    <workbookView xWindow="-120" yWindow="-120" windowWidth="29040" windowHeight="17640" tabRatio="782" xr2:uid="{00000000-000D-0000-FFFF-FFFF00000000}"/>
  </bookViews>
  <sheets>
    <sheet name="TITELBLAD" sheetId="4" r:id="rId1"/>
    <sheet name="--&gt; ELEKTRICITEIT" sheetId="39" r:id="rId2"/>
    <sheet name="ASSUMPTIES" sheetId="37" r:id="rId3"/>
    <sheet name="VERDEELSLEUTELS" sheetId="27" r:id="rId4"/>
    <sheet name="REKENVOLUMES" sheetId="29" r:id="rId5"/>
    <sheet name="MAXIMUM" sheetId="31" r:id="rId6"/>
    <sheet name="Max Afname TRHS" sheetId="32" r:id="rId7"/>
    <sheet name="Max Afname MS" sheetId="41" r:id="rId8"/>
    <sheet name="Max Afname TRLS" sheetId="42" r:id="rId9"/>
    <sheet name="Max Afname LS" sheetId="43" r:id="rId10"/>
    <sheet name="Max Injectie" sheetId="44" r:id="rId11"/>
    <sheet name="T1" sheetId="6" r:id="rId12"/>
    <sheet name="T2" sheetId="26" r:id="rId13"/>
    <sheet name="T3" sheetId="28" r:id="rId14"/>
    <sheet name="T4" sheetId="38" r:id="rId15"/>
    <sheet name="--&gt; AARDGAS" sheetId="45" r:id="rId16"/>
    <sheet name="T5" sheetId="47" r:id="rId17"/>
    <sheet name="T6" sheetId="46" r:id="rId18"/>
    <sheet name="T7" sheetId="58" r:id="rId19"/>
    <sheet name="T8" sheetId="48" r:id="rId20"/>
    <sheet name="--&gt; TARIEFLIJSTEN" sheetId="49" r:id="rId21"/>
    <sheet name="ELEK Afname" sheetId="57" r:id="rId22"/>
    <sheet name="ELEK Afname Trans HS" sheetId="50" r:id="rId23"/>
    <sheet name="ELEK Afname &gt;26-36 kV" sheetId="51" r:id="rId24"/>
    <sheet name="ELEK Afname 26-1 kV" sheetId="52" r:id="rId25"/>
    <sheet name="ELEK Afname Trans LS" sheetId="53" r:id="rId26"/>
    <sheet name="ELEK Afname LS" sheetId="54" r:id="rId27"/>
    <sheet name="ELEK Afname Doorvoer" sheetId="55" r:id="rId28"/>
    <sheet name="ELEK Injectie" sheetId="56" r:id="rId29"/>
    <sheet name="GAS Afname" sheetId="60" r:id="rId30"/>
    <sheet name="GAS Injectie" sheetId="61" r:id="rId31"/>
    <sheet name="Werkblad" sheetId="62" r:id="rId32"/>
  </sheets>
  <definedNames>
    <definedName name="_xlnm._FilterDatabase" localSheetId="9" hidden="1">'Max Afname LS'!$A$18:$T$18</definedName>
    <definedName name="_xlnm._FilterDatabase" localSheetId="7" hidden="1">'Max Afname MS'!$A$19:$AA$19</definedName>
    <definedName name="_xlnm._FilterDatabase" localSheetId="6" hidden="1">'Max Afname TRHS'!$A$19:$AA$19</definedName>
    <definedName name="_xlnm._FilterDatabase" localSheetId="8" hidden="1">'Max Afname TRLS'!$A$19:$AA$19</definedName>
    <definedName name="_xlnm._FilterDatabase" localSheetId="10" hidden="1">'Max Injectie'!$A$13:$J$13</definedName>
    <definedName name="_ftnref3" localSheetId="0">TITELBLAD!$A$93</definedName>
    <definedName name="_xlnm.Print_Area" localSheetId="16">'T5'!$A$1:$J$28</definedName>
    <definedName name="_xlnm.Print_Area" localSheetId="17">'T6'!$A$1:$R$35</definedName>
    <definedName name="_xlnm.Print_Area" localSheetId="19">'T8'!$C$1:$AN$22</definedName>
    <definedName name="_xlnm.Print_Area" localSheetId="0">TITELBLAD!$A$1:$M$174</definedName>
    <definedName name="AS2DocOpenMode" hidden="1">"AS2DocumentEdit"</definedName>
    <definedName name="B2020_ODV_TRHS">ASSUMPTIES!$E$37</definedName>
    <definedName name="B2020_TOE_TRHS">ASSUMPTIES!$E$38</definedName>
    <definedName name="BEGINJAAR">TITELBLAD!$I$9</definedName>
    <definedName name="CPI_2020">ASSUMPTIES!$E$32</definedName>
    <definedName name="CPI_JAARMIN1">ASSUMPTIES!$E$31</definedName>
    <definedName name="DIM_OMV">ASSUMPTIES!$E$54</definedName>
    <definedName name="DNB">TITELBLAD!$F$6</definedName>
    <definedName name="EINDJAAR">TITELBLAD!$I$10</definedName>
    <definedName name="FACTOR_DOORVOER">ASSUMPTIES!$E$60</definedName>
    <definedName name="FACTOR_MP_TV">ASSUMPTIES!$E$13</definedName>
    <definedName name="FACTOR_OST">ASSUMPTIES!$E$15</definedName>
    <definedName name="FACTOR_VAST">ASSUMPTIES!$E$21</definedName>
    <definedName name="JAAR">TITELBLAD!$I$12</definedName>
    <definedName name="Keuze_Kostenindeling1">'T2'!$C$8:$C$9</definedName>
    <definedName name="Keuze_Kostenindeling2">'T2'!$D$8:$D$62</definedName>
    <definedName name="Keuze_Kostenindeling3">'T2'!$E$8:$E$9</definedName>
    <definedName name="Keuze_Kostenindeling4">'T2'!$F$8:$F$9</definedName>
    <definedName name="Keuze_Subactiviteit">'T2'!$A$8:$A$9</definedName>
    <definedName name="Keuze_TariefcomponentN">'T2'!$B$8:$B$15</definedName>
    <definedName name="KORTING_XN">ASSUMPTIES!$E$40</definedName>
    <definedName name="MAXTOENAME_TRHS">ASSUMPTIES!$E$36</definedName>
    <definedName name="OMVORMERVERMOGEN">ASSUMPTIES!$E$53</definedName>
    <definedName name="ONDERNEMINGSNUMMER">TITELBLAD!$F$7</definedName>
    <definedName name="PROCENT_GEMMP">ASSUMPTIES!$E$18</definedName>
    <definedName name="PROCENT_KWH">ASSUMPTIES!$E$19</definedName>
    <definedName name="PROCENT_MP">ASSUMPTIES!$E$12</definedName>
    <definedName name="PROCENT_TV">ASSUMPTIES!$E$11</definedName>
    <definedName name="PROCENT_VERHOGING_NA_MAX">MAXIMUM!$G$34</definedName>
    <definedName name="SAPBEXrevision" localSheetId="29" hidden="1">23</definedName>
    <definedName name="SAPBEXrevision" localSheetId="30" hidden="1">23</definedName>
    <definedName name="SAPBEXrevision" localSheetId="16" hidden="1">23</definedName>
    <definedName name="SAPBEXrevision" localSheetId="17" hidden="1">23</definedName>
    <definedName name="SAPBEXrevision" hidden="1">10</definedName>
    <definedName name="SAPBEXsysID" hidden="1">"BP1"</definedName>
    <definedName name="SAPBEXwbID" localSheetId="29" hidden="1">"3OXN00JDSWKKLN5ZRDB3JJU3L"</definedName>
    <definedName name="SAPBEXwbID" localSheetId="30" hidden="1">"3OXN00JDSWKKLN5ZRDB3JJU3L"</definedName>
    <definedName name="SAPBEXwbID" localSheetId="16" hidden="1">"3OXN00JDSWKKLN5ZRDB3JJU3L"</definedName>
    <definedName name="SAPBEXwbID" localSheetId="17" hidden="1">"3OXN00JDSWKKLN5ZRDB3JJU3L"</definedName>
    <definedName name="SAPBEXwbID" hidden="1">"4751QXOCD67AJ09JC6QHJDZY6"</definedName>
    <definedName name="TAR_DATA_LSMR1_2021">ASSUMPTIES!$E$28</definedName>
    <definedName name="TAR_DATA_LSMR3_2021">ASSUMPTIES!$E$27</definedName>
    <definedName name="TAR_DATA_NIETLS_2021">ASSUMPTIES!$E$26</definedName>
    <definedName name="TAR_DATA_PROD_2021">ASSUMPTIES!$E$29</definedName>
    <definedName name="TAR_ODV_GSC">ASSUMPTIES!$E$45</definedName>
    <definedName name="TAR_ODV_HEWKK">ASSUMPTIES!$E$47</definedName>
    <definedName name="TAR_ODV_REG">ASSUMPTIES!$E$48</definedName>
    <definedName name="TAR_ODV_RESERVE">ASSUMPTIES!$E$46</definedName>
    <definedName name="TAR_ODV_WIND">ASSUMPTIES!$E$44</definedName>
    <definedName name="TAR_TOE_MASTEN">ASSUMPTIES!$E$49</definedName>
    <definedName name="VOLLASTUREN">ASSUMPTIES!$E$55</definedName>
    <definedName name="ZELFCONSUMPTIE">ASSUMPTIES!$E$56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6" i="56" l="1"/>
  <c r="C10" i="56"/>
  <c r="D58" i="55"/>
  <c r="D57" i="55"/>
  <c r="D53" i="55"/>
  <c r="D51" i="55"/>
  <c r="D48" i="55"/>
  <c r="D45" i="55"/>
  <c r="D55" i="55" s="1"/>
  <c r="D40" i="55"/>
  <c r="D24" i="55"/>
  <c r="D44" i="55"/>
  <c r="D38" i="55"/>
  <c r="D36" i="55"/>
  <c r="D33" i="55"/>
  <c r="D30" i="55"/>
  <c r="D28" i="55"/>
  <c r="D29" i="55" s="1"/>
  <c r="D22" i="55"/>
  <c r="D20" i="55"/>
  <c r="D18" i="55"/>
  <c r="D15" i="55"/>
  <c r="D11" i="55"/>
  <c r="D10" i="55"/>
  <c r="D9" i="55"/>
  <c r="D8" i="55" s="1"/>
  <c r="D9" i="54"/>
  <c r="D68" i="54"/>
  <c r="D66" i="54"/>
  <c r="D65" i="54"/>
  <c r="D63" i="54" s="1"/>
  <c r="D61" i="54"/>
  <c r="D59" i="54"/>
  <c r="D58" i="54"/>
  <c r="D55" i="54"/>
  <c r="D52" i="54"/>
  <c r="D51" i="54"/>
  <c r="D47" i="54"/>
  <c r="D46" i="54"/>
  <c r="D44" i="54" s="1"/>
  <c r="D42" i="54"/>
  <c r="D40" i="54"/>
  <c r="D39" i="54"/>
  <c r="D36" i="54"/>
  <c r="D33" i="54"/>
  <c r="D32" i="54"/>
  <c r="D26" i="54"/>
  <c r="D25" i="54"/>
  <c r="D23" i="54" s="1"/>
  <c r="D21" i="54"/>
  <c r="D19" i="54"/>
  <c r="D18" i="54"/>
  <c r="D15" i="54"/>
  <c r="D14" i="54"/>
  <c r="D13" i="54"/>
  <c r="D10" i="54"/>
  <c r="D8" i="54"/>
  <c r="D8" i="53" l="1"/>
  <c r="D29" i="53"/>
  <c r="D28" i="53"/>
  <c r="D26" i="53" s="1"/>
  <c r="D24" i="53"/>
  <c r="D22" i="53"/>
  <c r="D21" i="53"/>
  <c r="D18" i="53"/>
  <c r="D15" i="53"/>
  <c r="D11" i="53"/>
  <c r="D10" i="53"/>
  <c r="D9" i="53"/>
  <c r="D7" i="52"/>
  <c r="D26" i="52"/>
  <c r="D25" i="52"/>
  <c r="D23" i="52" s="1"/>
  <c r="D21" i="52"/>
  <c r="D19" i="52"/>
  <c r="D17" i="52"/>
  <c r="D14" i="52"/>
  <c r="D10" i="52"/>
  <c r="D9" i="52"/>
  <c r="D8" i="52"/>
  <c r="G8" i="51"/>
  <c r="D8" i="51"/>
  <c r="G27" i="51"/>
  <c r="G26" i="51"/>
  <c r="G24" i="51" s="1"/>
  <c r="G22" i="51"/>
  <c r="G20" i="51"/>
  <c r="G18" i="51"/>
  <c r="G15" i="51"/>
  <c r="G11" i="51"/>
  <c r="G10" i="51"/>
  <c r="G9" i="51"/>
  <c r="D27" i="51"/>
  <c r="D26" i="51"/>
  <c r="D24" i="51" s="1"/>
  <c r="D22" i="51"/>
  <c r="D20" i="51"/>
  <c r="D18" i="51"/>
  <c r="D15" i="51"/>
  <c r="D11" i="51"/>
  <c r="D10" i="51"/>
  <c r="D9" i="51"/>
  <c r="D26" i="50"/>
  <c r="D25" i="50"/>
  <c r="D23" i="50" s="1"/>
  <c r="D21" i="50"/>
  <c r="D19" i="50"/>
  <c r="D17" i="50"/>
  <c r="D14" i="50"/>
  <c r="D8" i="50"/>
  <c r="D7" i="50" s="1"/>
  <c r="D10" i="50"/>
  <c r="D9" i="50"/>
  <c r="O14" i="57"/>
  <c r="F8" i="57"/>
  <c r="H8" i="57"/>
  <c r="M8" i="57"/>
  <c r="K8" i="57"/>
  <c r="I8" i="57"/>
  <c r="Q40" i="57"/>
  <c r="Q38" i="57"/>
  <c r="Q37" i="57"/>
  <c r="Q35" i="57" s="1"/>
  <c r="Q33" i="57"/>
  <c r="Q31" i="57"/>
  <c r="Q30" i="57"/>
  <c r="Q27" i="57"/>
  <c r="Q18" i="57"/>
  <c r="Q17" i="57"/>
  <c r="P38" i="57"/>
  <c r="P37" i="57"/>
  <c r="P35" i="57" s="1"/>
  <c r="P33" i="57"/>
  <c r="P31" i="57"/>
  <c r="P30" i="57"/>
  <c r="P17" i="57"/>
  <c r="P27" i="57"/>
  <c r="P18" i="57"/>
  <c r="O38" i="57"/>
  <c r="O37" i="57"/>
  <c r="O35" i="57" s="1"/>
  <c r="O33" i="57"/>
  <c r="O31" i="57"/>
  <c r="O30" i="57"/>
  <c r="O27" i="57"/>
  <c r="O26" i="57"/>
  <c r="O25" i="57"/>
  <c r="O15" i="57"/>
  <c r="O13" i="57"/>
  <c r="M38" i="57"/>
  <c r="M37" i="57"/>
  <c r="M35" i="57" s="1"/>
  <c r="M33" i="57"/>
  <c r="M31" i="57"/>
  <c r="M30" i="57"/>
  <c r="M25" i="57"/>
  <c r="M22" i="57"/>
  <c r="M11" i="57"/>
  <c r="M10" i="57"/>
  <c r="M9" i="57"/>
  <c r="K38" i="57"/>
  <c r="K37" i="57"/>
  <c r="K35" i="57"/>
  <c r="K33" i="57"/>
  <c r="K30" i="57"/>
  <c r="K25" i="57"/>
  <c r="K22" i="57"/>
  <c r="K11" i="57"/>
  <c r="K10" i="57"/>
  <c r="K9" i="57"/>
  <c r="I38" i="57"/>
  <c r="I37" i="57"/>
  <c r="I35" i="57" s="1"/>
  <c r="I33" i="57"/>
  <c r="I25" i="57"/>
  <c r="I30" i="57"/>
  <c r="I22" i="57"/>
  <c r="I11" i="57"/>
  <c r="I10" i="57"/>
  <c r="I9" i="57"/>
  <c r="H38" i="57"/>
  <c r="H37" i="57"/>
  <c r="H35" i="57" s="1"/>
  <c r="H33" i="57"/>
  <c r="H30" i="57"/>
  <c r="H25" i="57"/>
  <c r="H22" i="57"/>
  <c r="H11" i="57"/>
  <c r="H10" i="57"/>
  <c r="H9" i="57"/>
  <c r="F42" i="57"/>
  <c r="F38" i="57"/>
  <c r="F37" i="57"/>
  <c r="F35" i="57" s="1"/>
  <c r="F33" i="57"/>
  <c r="F30" i="57"/>
  <c r="F25" i="57"/>
  <c r="F22" i="57"/>
  <c r="F11" i="57"/>
  <c r="F10" i="57"/>
  <c r="F9" i="57"/>
  <c r="O33" i="38" l="1"/>
  <c r="Q28" i="38"/>
  <c r="L35" i="28"/>
  <c r="O26" i="28"/>
  <c r="F20" i="31"/>
  <c r="F47" i="27"/>
  <c r="S19" i="29"/>
  <c r="S29" i="29" s="1"/>
  <c r="R28" i="29"/>
  <c r="E46" i="27"/>
  <c r="R39" i="41"/>
  <c r="W38" i="41"/>
  <c r="W37" i="41"/>
  <c r="W36" i="41"/>
  <c r="W35" i="41"/>
  <c r="W34" i="41"/>
  <c r="W33" i="41"/>
  <c r="W32" i="41"/>
  <c r="W31" i="41"/>
  <c r="W30" i="41"/>
  <c r="W29" i="41"/>
  <c r="W28" i="41"/>
  <c r="W27" i="41"/>
  <c r="W26" i="41"/>
  <c r="W25" i="41"/>
  <c r="W24" i="41"/>
  <c r="W23" i="41"/>
  <c r="W22" i="41"/>
  <c r="W21" i="41"/>
  <c r="W20" i="41"/>
  <c r="Q37" i="43"/>
  <c r="Q36" i="43"/>
  <c r="Q35" i="43"/>
  <c r="Q34" i="43"/>
  <c r="Q33" i="43"/>
  <c r="Q32" i="43"/>
  <c r="Q31" i="43"/>
  <c r="Q30" i="43"/>
  <c r="Q29" i="43"/>
  <c r="Q28" i="43"/>
  <c r="Q27" i="43"/>
  <c r="Q26" i="43"/>
  <c r="Q25" i="43"/>
  <c r="Q24" i="43"/>
  <c r="Q23" i="43"/>
  <c r="Q22" i="43"/>
  <c r="Q21" i="43"/>
  <c r="Q20" i="43"/>
  <c r="Q19" i="43"/>
  <c r="Z20" i="41"/>
  <c r="Z38" i="41"/>
  <c r="Z22" i="41"/>
  <c r="Z23" i="41"/>
  <c r="Z24" i="41"/>
  <c r="Z25" i="41"/>
  <c r="Z26" i="41"/>
  <c r="Z27" i="41"/>
  <c r="Z28" i="41"/>
  <c r="Z29" i="41"/>
  <c r="Z30" i="41"/>
  <c r="Z31" i="41"/>
  <c r="Z32" i="41"/>
  <c r="Z33" i="41"/>
  <c r="Z34" i="41"/>
  <c r="Z35" i="41"/>
  <c r="Z36" i="41"/>
  <c r="Z37" i="41"/>
  <c r="Z21" i="41"/>
  <c r="F17" i="31"/>
  <c r="H54" i="27"/>
  <c r="H53" i="27"/>
  <c r="H52" i="27"/>
  <c r="H51" i="27"/>
  <c r="G54" i="27"/>
  <c r="G53" i="27"/>
  <c r="G52" i="27"/>
  <c r="G51" i="27"/>
  <c r="E40" i="37"/>
  <c r="S28" i="29" l="1"/>
  <c r="L15" i="6"/>
  <c r="L14" i="6"/>
  <c r="L13" i="6"/>
  <c r="L12" i="6"/>
  <c r="L11" i="6"/>
  <c r="L10" i="6"/>
  <c r="L16" i="6" s="1"/>
  <c r="O42" i="57" l="1"/>
  <c r="M42" i="57"/>
  <c r="K42" i="57"/>
  <c r="I42" i="57"/>
  <c r="H42" i="57"/>
  <c r="E37" i="48" l="1"/>
  <c r="E36" i="48"/>
  <c r="E30" i="48"/>
  <c r="E26" i="48"/>
  <c r="F17" i="47"/>
  <c r="D19" i="47"/>
  <c r="K99" i="26"/>
  <c r="K98" i="26"/>
  <c r="K97" i="26"/>
  <c r="K96" i="26"/>
  <c r="K95" i="26"/>
  <c r="K94" i="26"/>
  <c r="K93" i="26"/>
  <c r="J37" i="44"/>
  <c r="J36" i="44"/>
  <c r="J35" i="44"/>
  <c r="J34" i="44"/>
  <c r="J33" i="44"/>
  <c r="I14" i="44"/>
  <c r="G21" i="44"/>
  <c r="G14" i="44"/>
  <c r="D38" i="44"/>
  <c r="D37" i="44"/>
  <c r="D36" i="44"/>
  <c r="D35" i="44"/>
  <c r="D34" i="44"/>
  <c r="D33" i="44"/>
  <c r="C38" i="44"/>
  <c r="C37" i="44"/>
  <c r="C36" i="44"/>
  <c r="C35" i="44"/>
  <c r="C34" i="44"/>
  <c r="C33" i="44"/>
  <c r="T38" i="43"/>
  <c r="K38" i="43"/>
  <c r="AA39" i="42"/>
  <c r="X39" i="42"/>
  <c r="W39" i="42"/>
  <c r="V39" i="42"/>
  <c r="T39" i="42"/>
  <c r="S39" i="42"/>
  <c r="R39" i="42"/>
  <c r="Q39" i="42"/>
  <c r="P39" i="42"/>
  <c r="O39" i="42"/>
  <c r="W20" i="42"/>
  <c r="W38" i="42"/>
  <c r="O41" i="41"/>
  <c r="O39" i="41"/>
  <c r="P41" i="41"/>
  <c r="P40" i="41"/>
  <c r="P39" i="41"/>
  <c r="Q41" i="41"/>
  <c r="Q40" i="41"/>
  <c r="Q39" i="41"/>
  <c r="R41" i="41"/>
  <c r="R40" i="41"/>
  <c r="S41" i="41"/>
  <c r="S40" i="41"/>
  <c r="S39" i="41"/>
  <c r="T41" i="41"/>
  <c r="T40" i="41"/>
  <c r="T39" i="41"/>
  <c r="U41" i="41"/>
  <c r="U40" i="41"/>
  <c r="U39" i="41"/>
  <c r="V41" i="41"/>
  <c r="V40" i="41"/>
  <c r="V39" i="41"/>
  <c r="W41" i="41"/>
  <c r="W40" i="41"/>
  <c r="W39" i="41"/>
  <c r="W42" i="41"/>
  <c r="AA41" i="41"/>
  <c r="AA40" i="41"/>
  <c r="AA39" i="41"/>
  <c r="AA40" i="32"/>
  <c r="AA39" i="32"/>
  <c r="X40" i="32"/>
  <c r="X39" i="32"/>
  <c r="W40" i="32"/>
  <c r="W39" i="32"/>
  <c r="V40" i="32"/>
  <c r="V39" i="32"/>
  <c r="U40" i="32"/>
  <c r="U39" i="32"/>
  <c r="T40" i="32"/>
  <c r="T39" i="32"/>
  <c r="S40" i="32"/>
  <c r="S39" i="32"/>
  <c r="R40" i="32"/>
  <c r="R39" i="32"/>
  <c r="Q40" i="32"/>
  <c r="Q39" i="32"/>
  <c r="P40" i="32"/>
  <c r="P39" i="32"/>
  <c r="O40" i="32"/>
  <c r="O39" i="32"/>
  <c r="M41" i="32"/>
  <c r="L41" i="32"/>
  <c r="K41" i="32"/>
  <c r="J41" i="32"/>
  <c r="I41" i="32"/>
  <c r="H41" i="32"/>
  <c r="G41" i="32"/>
  <c r="F41" i="32"/>
  <c r="E41" i="32"/>
  <c r="M40" i="32"/>
  <c r="M39" i="32"/>
  <c r="L40" i="32"/>
  <c r="L39" i="32"/>
  <c r="K40" i="32"/>
  <c r="K39" i="32"/>
  <c r="J40" i="32"/>
  <c r="J39" i="32"/>
  <c r="I40" i="32"/>
  <c r="I39" i="32"/>
  <c r="H40" i="32"/>
  <c r="H39" i="32"/>
  <c r="G40" i="32"/>
  <c r="G39" i="32"/>
  <c r="F40" i="32"/>
  <c r="F39" i="32"/>
  <c r="E40" i="32"/>
  <c r="E39" i="32"/>
  <c r="Z38" i="32"/>
  <c r="Z20" i="32"/>
  <c r="W38" i="32"/>
  <c r="W20" i="32"/>
  <c r="W41" i="32" s="1"/>
  <c r="Q16" i="32"/>
  <c r="F15" i="31"/>
  <c r="F14" i="31"/>
  <c r="F11" i="31"/>
  <c r="F9" i="31"/>
  <c r="O29" i="29"/>
  <c r="M29" i="29"/>
  <c r="M28" i="29"/>
  <c r="K29" i="29"/>
  <c r="K28" i="29"/>
  <c r="J29" i="29"/>
  <c r="J28" i="29"/>
  <c r="I29" i="29"/>
  <c r="I28" i="29"/>
  <c r="G29" i="29"/>
  <c r="G28" i="29"/>
  <c r="E28" i="29" s="1"/>
  <c r="F29" i="29"/>
  <c r="F28" i="29"/>
  <c r="L29" i="29"/>
  <c r="L28" i="29"/>
  <c r="T22" i="29"/>
  <c r="T14" i="29"/>
  <c r="L24" i="29"/>
  <c r="L23" i="29"/>
  <c r="L15" i="29"/>
  <c r="L8" i="29"/>
  <c r="H8" i="29"/>
  <c r="D22" i="29"/>
  <c r="D14" i="29"/>
  <c r="E24" i="29"/>
  <c r="E23" i="29"/>
  <c r="E19" i="29"/>
  <c r="E17" i="29"/>
  <c r="E16" i="29"/>
  <c r="E15" i="29"/>
  <c r="E10" i="29"/>
  <c r="E9" i="29"/>
  <c r="E8" i="29"/>
  <c r="A1" i="61"/>
  <c r="H28" i="29" l="1"/>
  <c r="E29" i="29"/>
  <c r="H29" i="29"/>
  <c r="Z20" i="42" l="1"/>
  <c r="Z37" i="32"/>
  <c r="Z36" i="32"/>
  <c r="Z35" i="32"/>
  <c r="Z34" i="32"/>
  <c r="Z33" i="32"/>
  <c r="Z32" i="32"/>
  <c r="Z31" i="32"/>
  <c r="Z30" i="32"/>
  <c r="Z29" i="32"/>
  <c r="Z28" i="32"/>
  <c r="Z27" i="32"/>
  <c r="Z26" i="32"/>
  <c r="Z25" i="32"/>
  <c r="Z24" i="32"/>
  <c r="Z23" i="32"/>
  <c r="Z22" i="32"/>
  <c r="Z21" i="32"/>
  <c r="Q48" i="28" l="1"/>
  <c r="Q50" i="28" s="1"/>
  <c r="Q52" i="28" s="1"/>
  <c r="Q54" i="28" s="1"/>
  <c r="R34" i="28"/>
  <c r="W34" i="28" s="1"/>
  <c r="W21" i="38" s="1"/>
  <c r="W36" i="38" s="1"/>
  <c r="L33" i="28"/>
  <c r="O33" i="28" s="1"/>
  <c r="L32" i="28"/>
  <c r="L19" i="38" s="1"/>
  <c r="L31" i="28"/>
  <c r="L18" i="38" s="1"/>
  <c r="L29" i="28"/>
  <c r="L30" i="28"/>
  <c r="J30" i="28"/>
  <c r="J29" i="28"/>
  <c r="F30" i="28"/>
  <c r="F29" i="28"/>
  <c r="C30" i="28"/>
  <c r="C29" i="28"/>
  <c r="B15" i="28"/>
  <c r="B14" i="28"/>
  <c r="B8" i="28"/>
  <c r="Q54" i="26"/>
  <c r="L89" i="26"/>
  <c r="Q56" i="26"/>
  <c r="R56" i="26"/>
  <c r="P33" i="28" l="1"/>
  <c r="P20" i="38" s="1"/>
  <c r="M29" i="28"/>
  <c r="L16" i="38"/>
  <c r="M30" i="28"/>
  <c r="N30" i="28" s="1"/>
  <c r="L17" i="38"/>
  <c r="T34" i="28"/>
  <c r="T21" i="38" s="1"/>
  <c r="T36" i="38" s="1"/>
  <c r="U34" i="28"/>
  <c r="U21" i="38" s="1"/>
  <c r="U36" i="38" s="1"/>
  <c r="L20" i="38"/>
  <c r="M31" i="28"/>
  <c r="G8" i="44"/>
  <c r="V34" i="28"/>
  <c r="V21" i="38" s="1"/>
  <c r="V36" i="38" s="1"/>
  <c r="R21" i="38"/>
  <c r="S34" i="28"/>
  <c r="S21" i="38" s="1"/>
  <c r="S36" i="38" s="1"/>
  <c r="R36" i="38" s="1"/>
  <c r="M32" i="28"/>
  <c r="P36" i="38" l="1"/>
  <c r="N29" i="28"/>
  <c r="M16" i="38"/>
  <c r="Q57" i="26"/>
  <c r="R57" i="26"/>
  <c r="K21" i="27" l="1"/>
  <c r="H12" i="27"/>
  <c r="G12" i="27"/>
  <c r="N37" i="27"/>
  <c r="M37" i="27"/>
  <c r="L37" i="27"/>
  <c r="K37" i="27"/>
  <c r="G11" i="27"/>
  <c r="H11" i="27"/>
  <c r="H9" i="27"/>
  <c r="G9" i="27"/>
  <c r="O28" i="29"/>
  <c r="N36" i="27"/>
  <c r="N35" i="27"/>
  <c r="M36" i="27"/>
  <c r="M35" i="27"/>
  <c r="L36" i="27"/>
  <c r="L35" i="27"/>
  <c r="K36" i="27"/>
  <c r="K35" i="27"/>
  <c r="H25" i="27"/>
  <c r="G25" i="27"/>
  <c r="I26" i="27"/>
  <c r="H26" i="27"/>
  <c r="I25" i="27"/>
  <c r="H21" i="29"/>
  <c r="F10" i="27"/>
  <c r="S8" i="26" l="1"/>
  <c r="L56" i="26"/>
  <c r="M56" i="26" s="1"/>
  <c r="L35" i="26"/>
  <c r="M35" i="26" s="1"/>
  <c r="L74" i="26"/>
  <c r="L73" i="26"/>
  <c r="L57" i="26"/>
  <c r="M57" i="26" s="1"/>
  <c r="L9" i="26"/>
  <c r="L8" i="26"/>
  <c r="S56" i="26"/>
  <c r="S73" i="26"/>
  <c r="S74" i="26"/>
  <c r="S35" i="26"/>
  <c r="S57" i="26"/>
  <c r="N57" i="26" l="1"/>
  <c r="S94" i="26"/>
  <c r="S93" i="26"/>
  <c r="P56" i="26"/>
  <c r="O56" i="26"/>
  <c r="P57" i="26"/>
  <c r="F10" i="6"/>
  <c r="L94" i="26"/>
  <c r="O57" i="26"/>
  <c r="N56" i="26"/>
  <c r="P28" i="29"/>
  <c r="Q28" i="29"/>
  <c r="N28" i="29" l="1"/>
  <c r="E47" i="27"/>
  <c r="L9" i="29" l="1"/>
  <c r="L10" i="29"/>
  <c r="L16" i="29"/>
  <c r="L17" i="29"/>
  <c r="L19" i="29"/>
  <c r="L20" i="29"/>
  <c r="L21" i="29"/>
  <c r="H10" i="29"/>
  <c r="R29" i="29" l="1"/>
  <c r="Q29" i="29"/>
  <c r="P29" i="29"/>
  <c r="N29" i="29" s="1"/>
  <c r="H27" i="27" l="1"/>
  <c r="A1" i="60" l="1"/>
  <c r="A1" i="56"/>
  <c r="A1" i="55"/>
  <c r="A1" i="54"/>
  <c r="A1" i="53"/>
  <c r="A1" i="52"/>
  <c r="A1" i="51"/>
  <c r="B1" i="50"/>
  <c r="A1" i="57"/>
  <c r="D4" i="47"/>
  <c r="D4" i="46"/>
  <c r="D4" i="48"/>
  <c r="D4" i="58"/>
  <c r="J24" i="47" l="1"/>
  <c r="H24" i="47"/>
  <c r="I24" i="47" s="1"/>
  <c r="F24" i="47"/>
  <c r="D24" i="47"/>
  <c r="J23" i="47"/>
  <c r="H23" i="47"/>
  <c r="K23" i="47" s="1"/>
  <c r="F23" i="47"/>
  <c r="D23" i="47"/>
  <c r="J19" i="47"/>
  <c r="H19" i="47"/>
  <c r="I19" i="47" s="1"/>
  <c r="F19" i="47"/>
  <c r="G19" i="47" s="1"/>
  <c r="J17" i="47"/>
  <c r="H17" i="47"/>
  <c r="I17" i="47" s="1"/>
  <c r="D17" i="47"/>
  <c r="G17" i="47" s="1"/>
  <c r="J15" i="47"/>
  <c r="H15" i="47"/>
  <c r="K15" i="47" s="1"/>
  <c r="F15" i="47"/>
  <c r="D15" i="47"/>
  <c r="J13" i="47"/>
  <c r="H13" i="47"/>
  <c r="F13" i="47"/>
  <c r="G13" i="47" s="1"/>
  <c r="D13" i="47"/>
  <c r="E13" i="47" s="1"/>
  <c r="H12" i="6"/>
  <c r="H11" i="6"/>
  <c r="F14" i="6"/>
  <c r="D12" i="6"/>
  <c r="D11" i="6"/>
  <c r="J14" i="6"/>
  <c r="A1" i="6"/>
  <c r="K24" i="47" l="1"/>
  <c r="L23" i="47"/>
  <c r="L24" i="47"/>
  <c r="I23" i="47"/>
  <c r="K17" i="47"/>
  <c r="L15" i="47"/>
  <c r="I15" i="47"/>
  <c r="K13" i="47"/>
  <c r="G24" i="47"/>
  <c r="G23" i="47"/>
  <c r="E19" i="47"/>
  <c r="G15" i="47"/>
  <c r="L13" i="47"/>
  <c r="E15" i="47"/>
  <c r="E23" i="47"/>
  <c r="I13" i="47"/>
  <c r="K19" i="47"/>
  <c r="E17" i="47"/>
  <c r="E24" i="47"/>
  <c r="L17" i="47"/>
  <c r="L19" i="47"/>
  <c r="D16" i="48"/>
  <c r="D15" i="48"/>
  <c r="D14" i="48"/>
  <c r="D13" i="48"/>
  <c r="D12" i="48"/>
  <c r="D11" i="48"/>
  <c r="D10" i="48"/>
  <c r="J37" i="48"/>
  <c r="J36" i="48"/>
  <c r="I37" i="48"/>
  <c r="I36" i="48"/>
  <c r="H37" i="48"/>
  <c r="H36" i="48"/>
  <c r="G37" i="48"/>
  <c r="G36" i="48"/>
  <c r="D36" i="48" s="1"/>
  <c r="F37" i="48"/>
  <c r="F36" i="48"/>
  <c r="G32" i="48"/>
  <c r="F32" i="48"/>
  <c r="E32" i="48"/>
  <c r="D32" i="48" s="1"/>
  <c r="M30" i="48"/>
  <c r="J30" i="48"/>
  <c r="I30" i="48"/>
  <c r="H30" i="48"/>
  <c r="G30" i="48"/>
  <c r="F30" i="48"/>
  <c r="M28" i="48"/>
  <c r="D28" i="48" s="1"/>
  <c r="L26" i="48"/>
  <c r="L39" i="48" s="1"/>
  <c r="K26" i="48"/>
  <c r="K39" i="48" s="1"/>
  <c r="J26" i="48"/>
  <c r="I26" i="48"/>
  <c r="I39" i="48" s="1"/>
  <c r="H26" i="48"/>
  <c r="H39" i="48" s="1"/>
  <c r="G26" i="48"/>
  <c r="F26" i="48"/>
  <c r="D11" i="61"/>
  <c r="D8" i="61"/>
  <c r="I36" i="60"/>
  <c r="H36" i="60"/>
  <c r="G36" i="60"/>
  <c r="F36" i="60"/>
  <c r="E36" i="60"/>
  <c r="D36" i="60"/>
  <c r="I34" i="60"/>
  <c r="H34" i="60"/>
  <c r="G34" i="60"/>
  <c r="F34" i="60"/>
  <c r="E34" i="60"/>
  <c r="D34" i="60"/>
  <c r="F24" i="60"/>
  <c r="E24" i="60"/>
  <c r="D24" i="60"/>
  <c r="D22" i="60"/>
  <c r="D21" i="60"/>
  <c r="H20" i="60"/>
  <c r="I15" i="60"/>
  <c r="H15" i="60"/>
  <c r="K14" i="60"/>
  <c r="J14" i="60"/>
  <c r="I14" i="60"/>
  <c r="H14" i="60"/>
  <c r="G14" i="60"/>
  <c r="F14" i="60"/>
  <c r="E14" i="60"/>
  <c r="D14" i="60"/>
  <c r="G13" i="60"/>
  <c r="F13" i="60"/>
  <c r="E13" i="60"/>
  <c r="D13" i="60"/>
  <c r="D37" i="48" l="1"/>
  <c r="J39" i="48"/>
  <c r="G39" i="48"/>
  <c r="D30" i="48"/>
  <c r="D26" i="48"/>
  <c r="D39" i="48" s="1"/>
  <c r="E39" i="48"/>
  <c r="M39" i="48"/>
  <c r="F39" i="48"/>
  <c r="C7" i="56"/>
  <c r="D28" i="54" l="1"/>
  <c r="D31" i="53"/>
  <c r="D28" i="52"/>
  <c r="G29" i="51"/>
  <c r="D29" i="51"/>
  <c r="D28" i="50"/>
  <c r="D12" i="46"/>
  <c r="E12" i="46"/>
  <c r="G12" i="46"/>
  <c r="H12" i="46"/>
  <c r="J12" i="46"/>
  <c r="J27" i="46" s="1"/>
  <c r="K12" i="46"/>
  <c r="M12" i="46"/>
  <c r="N12" i="46"/>
  <c r="N27" i="46" s="1"/>
  <c r="P12" i="46"/>
  <c r="H11" i="47" s="1"/>
  <c r="Q12" i="46"/>
  <c r="F14" i="46"/>
  <c r="I14" i="46"/>
  <c r="L14" i="46"/>
  <c r="O14" i="46"/>
  <c r="R14" i="46"/>
  <c r="F16" i="46"/>
  <c r="I16" i="46"/>
  <c r="L16" i="46"/>
  <c r="O16" i="46"/>
  <c r="R16" i="46"/>
  <c r="F18" i="46"/>
  <c r="I18" i="46"/>
  <c r="L18" i="46"/>
  <c r="O18" i="46"/>
  <c r="R18" i="46"/>
  <c r="F20" i="46"/>
  <c r="I20" i="46"/>
  <c r="L20" i="46"/>
  <c r="O20" i="46"/>
  <c r="R20" i="46"/>
  <c r="D22" i="46"/>
  <c r="E22" i="46"/>
  <c r="G22" i="46"/>
  <c r="G27" i="46" s="1"/>
  <c r="H22" i="46"/>
  <c r="J22" i="46"/>
  <c r="K22" i="46"/>
  <c r="L22" i="46"/>
  <c r="M22" i="46"/>
  <c r="O22" i="46" s="1"/>
  <c r="N22" i="46"/>
  <c r="P22" i="46"/>
  <c r="H21" i="47" s="1"/>
  <c r="Q22" i="46"/>
  <c r="F24" i="46"/>
  <c r="I24" i="46"/>
  <c r="L24" i="46"/>
  <c r="O24" i="46"/>
  <c r="R24" i="46"/>
  <c r="F25" i="46"/>
  <c r="I25" i="46"/>
  <c r="L25" i="46"/>
  <c r="O25" i="46"/>
  <c r="R25" i="46"/>
  <c r="E27" i="46" l="1"/>
  <c r="F12" i="46"/>
  <c r="R12" i="46"/>
  <c r="J11" i="47"/>
  <c r="K11" i="47" s="1"/>
  <c r="Q27" i="46"/>
  <c r="J21" i="47"/>
  <c r="I21" i="47" s="1"/>
  <c r="F11" i="47"/>
  <c r="H26" i="47"/>
  <c r="K27" i="46"/>
  <c r="F21" i="47"/>
  <c r="D11" i="47"/>
  <c r="D21" i="47"/>
  <c r="I12" i="46"/>
  <c r="R22" i="46"/>
  <c r="L12" i="46"/>
  <c r="M27" i="46"/>
  <c r="O27" i="46" s="1"/>
  <c r="F22" i="46"/>
  <c r="O12" i="46"/>
  <c r="L27" i="46"/>
  <c r="I22" i="46"/>
  <c r="P27" i="46"/>
  <c r="H27" i="46"/>
  <c r="D27" i="46"/>
  <c r="E21" i="47" l="1"/>
  <c r="D26" i="47"/>
  <c r="L21" i="47"/>
  <c r="J26" i="47"/>
  <c r="K26" i="47" s="1"/>
  <c r="K21" i="47"/>
  <c r="L11" i="47"/>
  <c r="E11" i="47"/>
  <c r="G21" i="47"/>
  <c r="F26" i="47"/>
  <c r="G11" i="47"/>
  <c r="R27" i="46"/>
  <c r="I11" i="47"/>
  <c r="F27" i="46"/>
  <c r="I27" i="46"/>
  <c r="I26" i="47" l="1"/>
  <c r="L26" i="47"/>
  <c r="G26" i="47"/>
  <c r="E26" i="47"/>
  <c r="Q13" i="43"/>
  <c r="Q12" i="43"/>
  <c r="Q11" i="43"/>
  <c r="Q10" i="43"/>
  <c r="E39" i="42" l="1"/>
  <c r="E41" i="41"/>
  <c r="E40" i="41"/>
  <c r="E39" i="41"/>
  <c r="E39" i="43"/>
  <c r="E38" i="43"/>
  <c r="I39" i="43"/>
  <c r="H39" i="43"/>
  <c r="G39" i="43"/>
  <c r="F39" i="43"/>
  <c r="I38" i="43"/>
  <c r="H38" i="43"/>
  <c r="G38" i="43"/>
  <c r="F38" i="43"/>
  <c r="M39" i="42"/>
  <c r="L39" i="42"/>
  <c r="K39" i="42"/>
  <c r="J39" i="42"/>
  <c r="I39" i="42"/>
  <c r="H39" i="42"/>
  <c r="G39" i="42"/>
  <c r="F39" i="42"/>
  <c r="M41" i="41"/>
  <c r="L41" i="41"/>
  <c r="K41" i="41"/>
  <c r="J41" i="41"/>
  <c r="I41" i="41"/>
  <c r="H41" i="41"/>
  <c r="G41" i="41"/>
  <c r="F41" i="41"/>
  <c r="M40" i="41"/>
  <c r="L40" i="41"/>
  <c r="K40" i="41"/>
  <c r="J40" i="41"/>
  <c r="I40" i="41"/>
  <c r="H40" i="41"/>
  <c r="G40" i="41"/>
  <c r="F40" i="41"/>
  <c r="M39" i="41"/>
  <c r="L39" i="41"/>
  <c r="K39" i="41"/>
  <c r="J39" i="41"/>
  <c r="I39" i="41"/>
  <c r="H39" i="41"/>
  <c r="G39" i="41"/>
  <c r="F39" i="41"/>
  <c r="G36" i="44"/>
  <c r="F36" i="44"/>
  <c r="G35" i="44"/>
  <c r="F35" i="44"/>
  <c r="G34" i="44"/>
  <c r="F34" i="44"/>
  <c r="I32" i="44"/>
  <c r="I31" i="44"/>
  <c r="I30" i="44"/>
  <c r="I29" i="44"/>
  <c r="I28" i="44"/>
  <c r="I27" i="44"/>
  <c r="I26" i="44"/>
  <c r="I25" i="44"/>
  <c r="I24" i="44"/>
  <c r="I23" i="44"/>
  <c r="I22" i="44"/>
  <c r="I21" i="44"/>
  <c r="I20" i="44"/>
  <c r="I19" i="44"/>
  <c r="I18" i="44"/>
  <c r="I17" i="44"/>
  <c r="I16" i="44"/>
  <c r="I15" i="44"/>
  <c r="G32" i="44"/>
  <c r="G31" i="44"/>
  <c r="G30" i="44"/>
  <c r="G29" i="44"/>
  <c r="G28" i="44"/>
  <c r="G27" i="44"/>
  <c r="G26" i="44"/>
  <c r="G25" i="44"/>
  <c r="G24" i="44"/>
  <c r="G23" i="44"/>
  <c r="G22" i="44"/>
  <c r="G20" i="44"/>
  <c r="G19" i="44"/>
  <c r="G18" i="44"/>
  <c r="G17" i="44"/>
  <c r="G16" i="44"/>
  <c r="G15" i="44"/>
  <c r="G38" i="44"/>
  <c r="G37" i="44"/>
  <c r="F37" i="44"/>
  <c r="G33" i="44"/>
  <c r="F33" i="44"/>
  <c r="D4" i="44"/>
  <c r="Z38" i="42"/>
  <c r="Z37" i="42"/>
  <c r="Z36" i="42"/>
  <c r="Z35" i="42"/>
  <c r="Z34" i="42"/>
  <c r="Z33" i="42"/>
  <c r="Z32" i="42"/>
  <c r="Z31" i="42"/>
  <c r="Z30" i="42"/>
  <c r="Z29" i="42"/>
  <c r="Z28" i="42"/>
  <c r="Z27" i="42"/>
  <c r="Z26" i="42"/>
  <c r="Z25" i="42"/>
  <c r="Z24" i="42"/>
  <c r="Z23" i="42"/>
  <c r="Z22" i="42"/>
  <c r="Z21" i="42"/>
  <c r="Q40" i="43"/>
  <c r="Q39" i="43"/>
  <c r="X40" i="41"/>
  <c r="O40" i="41"/>
  <c r="I40" i="43"/>
  <c r="H40" i="43"/>
  <c r="G40" i="43"/>
  <c r="F40" i="43"/>
  <c r="E40" i="43"/>
  <c r="Q38" i="43"/>
  <c r="P38" i="43"/>
  <c r="N38" i="43"/>
  <c r="M38" i="43"/>
  <c r="L38" i="43"/>
  <c r="L15" i="43"/>
  <c r="D4" i="43"/>
  <c r="W13" i="42"/>
  <c r="W12" i="42"/>
  <c r="M40" i="42"/>
  <c r="L40" i="42"/>
  <c r="K40" i="42"/>
  <c r="J40" i="42"/>
  <c r="I40" i="42"/>
  <c r="H40" i="42"/>
  <c r="G40" i="42"/>
  <c r="F40" i="42"/>
  <c r="E40" i="42"/>
  <c r="W37" i="42"/>
  <c r="W36" i="42"/>
  <c r="W35" i="42"/>
  <c r="W34" i="42"/>
  <c r="W33" i="42"/>
  <c r="W32" i="42"/>
  <c r="W31" i="42"/>
  <c r="W30" i="42"/>
  <c r="W29" i="42"/>
  <c r="W28" i="42"/>
  <c r="W27" i="42"/>
  <c r="W26" i="42"/>
  <c r="W25" i="42"/>
  <c r="W24" i="42"/>
  <c r="W23" i="42"/>
  <c r="W22" i="42"/>
  <c r="W21" i="42"/>
  <c r="W40" i="42"/>
  <c r="Q16" i="42"/>
  <c r="D4" i="42"/>
  <c r="E42" i="41"/>
  <c r="M42" i="41"/>
  <c r="L42" i="41"/>
  <c r="K42" i="41"/>
  <c r="J42" i="41"/>
  <c r="I42" i="41"/>
  <c r="H42" i="41"/>
  <c r="G42" i="41"/>
  <c r="F42" i="41"/>
  <c r="D4" i="32"/>
  <c r="D4" i="41"/>
  <c r="W13" i="41"/>
  <c r="W12" i="41"/>
  <c r="W13" i="32"/>
  <c r="W12" i="32"/>
  <c r="X41" i="41"/>
  <c r="X39" i="41"/>
  <c r="Q16" i="41"/>
  <c r="W37" i="32"/>
  <c r="W36" i="32"/>
  <c r="W35" i="32"/>
  <c r="W34" i="32"/>
  <c r="W33" i="32"/>
  <c r="W32" i="32"/>
  <c r="W31" i="32"/>
  <c r="W30" i="32"/>
  <c r="W29" i="32"/>
  <c r="W28" i="32"/>
  <c r="W27" i="32"/>
  <c r="W26" i="32"/>
  <c r="W25" i="32"/>
  <c r="W24" i="32"/>
  <c r="W23" i="32"/>
  <c r="W22" i="32"/>
  <c r="W21" i="32"/>
  <c r="S11" i="32"/>
  <c r="E16" i="31"/>
  <c r="R8" i="38" l="1"/>
  <c r="S8" i="38"/>
  <c r="U8" i="38"/>
  <c r="V8" i="38"/>
  <c r="W8" i="38"/>
  <c r="R9" i="38"/>
  <c r="S9" i="38"/>
  <c r="U9" i="38"/>
  <c r="V9" i="38"/>
  <c r="W9" i="38"/>
  <c r="R10" i="38"/>
  <c r="S10" i="38"/>
  <c r="U10" i="38"/>
  <c r="V10" i="38"/>
  <c r="W10" i="38"/>
  <c r="R11" i="38"/>
  <c r="S11" i="38"/>
  <c r="U11" i="38"/>
  <c r="V11" i="38"/>
  <c r="W11" i="38"/>
  <c r="R12" i="38"/>
  <c r="S12" i="38"/>
  <c r="U12" i="38"/>
  <c r="V12" i="38"/>
  <c r="W12" i="38"/>
  <c r="R13" i="38"/>
  <c r="S13" i="38"/>
  <c r="U13" i="38"/>
  <c r="V13" i="38"/>
  <c r="W13" i="38"/>
  <c r="R15" i="38"/>
  <c r="S15" i="38"/>
  <c r="U15" i="38"/>
  <c r="V15" i="38"/>
  <c r="W15" i="38"/>
  <c r="F16" i="38"/>
  <c r="J16" i="38"/>
  <c r="R16" i="38"/>
  <c r="S16" i="38"/>
  <c r="U16" i="38"/>
  <c r="V16" i="38"/>
  <c r="W16" i="38"/>
  <c r="F17" i="38"/>
  <c r="J17" i="38"/>
  <c r="M17" i="38"/>
  <c r="M18" i="38"/>
  <c r="M19" i="38"/>
  <c r="O20" i="38"/>
  <c r="R28" i="38"/>
  <c r="S28" i="38"/>
  <c r="U28" i="38"/>
  <c r="V28" i="38"/>
  <c r="W28" i="38"/>
  <c r="C17" i="38"/>
  <c r="C16" i="38"/>
  <c r="O36" i="38" l="1"/>
  <c r="M36" i="38"/>
  <c r="L36" i="38" s="1"/>
  <c r="T21" i="28"/>
  <c r="T8" i="38" s="1"/>
  <c r="T22" i="28"/>
  <c r="T9" i="38" s="1"/>
  <c r="T23" i="28"/>
  <c r="T10" i="38" s="1"/>
  <c r="T24" i="28"/>
  <c r="T11" i="38" s="1"/>
  <c r="T25" i="28"/>
  <c r="T12" i="38" s="1"/>
  <c r="T26" i="28"/>
  <c r="T13" i="38" s="1"/>
  <c r="T28" i="28"/>
  <c r="T15" i="38" s="1"/>
  <c r="T29" i="28"/>
  <c r="T16" i="38" s="1"/>
  <c r="T41" i="28"/>
  <c r="T28" i="38" s="1"/>
  <c r="N16" i="38"/>
  <c r="N17" i="38"/>
  <c r="D29" i="28"/>
  <c r="D16" i="38" s="1"/>
  <c r="D30" i="28"/>
  <c r="D17" i="38" s="1"/>
  <c r="E30" i="28"/>
  <c r="E17" i="38" s="1"/>
  <c r="K29" i="28"/>
  <c r="K16" i="38" s="1"/>
  <c r="K30" i="28"/>
  <c r="K17" i="38" s="1"/>
  <c r="G29" i="28"/>
  <c r="G16" i="38" s="1"/>
  <c r="G30" i="28"/>
  <c r="G17" i="38" s="1"/>
  <c r="H29" i="28"/>
  <c r="H16" i="38" s="1"/>
  <c r="H30" i="28"/>
  <c r="H17" i="38" s="1"/>
  <c r="I29" i="28"/>
  <c r="I16" i="38" s="1"/>
  <c r="I30" i="28"/>
  <c r="I17" i="38" s="1"/>
  <c r="R86" i="26"/>
  <c r="R87" i="26"/>
  <c r="R88" i="26"/>
  <c r="R89" i="26"/>
  <c r="R90" i="26"/>
  <c r="Q86" i="26"/>
  <c r="Q87" i="26"/>
  <c r="Q88" i="26"/>
  <c r="Q89" i="26"/>
  <c r="Q90" i="26"/>
  <c r="P86" i="26"/>
  <c r="P87" i="26"/>
  <c r="P88" i="26"/>
  <c r="P89" i="26"/>
  <c r="P90" i="26"/>
  <c r="O86" i="26"/>
  <c r="O87" i="26"/>
  <c r="O88" i="26"/>
  <c r="O89" i="26"/>
  <c r="O90" i="26"/>
  <c r="N86" i="26"/>
  <c r="N87" i="26"/>
  <c r="N88" i="26"/>
  <c r="N89" i="26"/>
  <c r="N90" i="26"/>
  <c r="M86" i="26"/>
  <c r="M87" i="26"/>
  <c r="M88" i="26"/>
  <c r="M89" i="26"/>
  <c r="M90" i="26"/>
  <c r="S90" i="26"/>
  <c r="S58" i="26"/>
  <c r="I10" i="28" s="1"/>
  <c r="S59" i="26"/>
  <c r="S86" i="26"/>
  <c r="S87" i="26"/>
  <c r="S88" i="26"/>
  <c r="S89" i="26"/>
  <c r="L90" i="26"/>
  <c r="L58" i="26"/>
  <c r="P58" i="26" s="1"/>
  <c r="R58" i="26" s="1"/>
  <c r="L59" i="26"/>
  <c r="O59" i="26" s="1"/>
  <c r="L33" i="26"/>
  <c r="O33" i="26" s="1"/>
  <c r="L86" i="26"/>
  <c r="L87" i="26"/>
  <c r="L88" i="26"/>
  <c r="E4" i="38"/>
  <c r="E4" i="28"/>
  <c r="E4" i="26"/>
  <c r="E4" i="6"/>
  <c r="E4" i="31"/>
  <c r="D4" i="27"/>
  <c r="D4" i="29"/>
  <c r="E20" i="29"/>
  <c r="H20" i="29"/>
  <c r="K24" i="27"/>
  <c r="K40" i="27"/>
  <c r="H13" i="27"/>
  <c r="L38" i="27"/>
  <c r="K38" i="27"/>
  <c r="N40" i="27"/>
  <c r="M40" i="27"/>
  <c r="L40" i="27"/>
  <c r="N39" i="27"/>
  <c r="M39" i="27"/>
  <c r="L39" i="27"/>
  <c r="K39" i="27"/>
  <c r="N38" i="27"/>
  <c r="M38" i="27"/>
  <c r="N32" i="27"/>
  <c r="N24" i="27"/>
  <c r="N23" i="27"/>
  <c r="N22" i="27"/>
  <c r="P8" i="26" s="1"/>
  <c r="P93" i="26" s="1"/>
  <c r="N21" i="27"/>
  <c r="P35" i="26" s="1"/>
  <c r="M32" i="27"/>
  <c r="M24" i="27"/>
  <c r="M23" i="27"/>
  <c r="M22" i="27"/>
  <c r="O8" i="26" s="1"/>
  <c r="O94" i="26" s="1"/>
  <c r="M21" i="27"/>
  <c r="O35" i="26" s="1"/>
  <c r="L32" i="27"/>
  <c r="L24" i="27"/>
  <c r="L23" i="27"/>
  <c r="L22" i="27"/>
  <c r="N8" i="26" s="1"/>
  <c r="N94" i="26" s="1"/>
  <c r="L21" i="27"/>
  <c r="N35" i="26" s="1"/>
  <c r="K32" i="27"/>
  <c r="K23" i="27"/>
  <c r="K22" i="27"/>
  <c r="M8" i="26" s="1"/>
  <c r="S9" i="26"/>
  <c r="H14" i="27"/>
  <c r="H15" i="27"/>
  <c r="L15" i="26"/>
  <c r="G13" i="27"/>
  <c r="G14" i="27"/>
  <c r="G15" i="27"/>
  <c r="B31" i="37"/>
  <c r="P94" i="26" l="1"/>
  <c r="C8" i="28"/>
  <c r="M94" i="26"/>
  <c r="N58" i="26"/>
  <c r="M59" i="26"/>
  <c r="N59" i="26"/>
  <c r="O58" i="26"/>
  <c r="I36" i="38"/>
  <c r="G36" i="38"/>
  <c r="F36" i="38" s="1"/>
  <c r="D36" i="38"/>
  <c r="C36" i="38" s="1"/>
  <c r="M58" i="26"/>
  <c r="C10" i="28" s="1"/>
  <c r="P59" i="26"/>
  <c r="Q59" i="26" s="1"/>
  <c r="H36" i="38"/>
  <c r="K36" i="38"/>
  <c r="J36" i="38" s="1"/>
  <c r="N36" i="38"/>
  <c r="Q58" i="26"/>
  <c r="L20" i="26"/>
  <c r="L52" i="26"/>
  <c r="L51" i="26"/>
  <c r="L75" i="26"/>
  <c r="F15" i="6" s="1"/>
  <c r="L55" i="26"/>
  <c r="L60" i="26"/>
  <c r="F12" i="6" s="1"/>
  <c r="E12" i="6" s="1"/>
  <c r="L45" i="26"/>
  <c r="S21" i="26"/>
  <c r="S51" i="26"/>
  <c r="S52" i="26"/>
  <c r="S45" i="26"/>
  <c r="S60" i="26"/>
  <c r="J12" i="6" s="1"/>
  <c r="S55" i="26"/>
  <c r="S75" i="26"/>
  <c r="J15" i="6" s="1"/>
  <c r="I27" i="27"/>
  <c r="R54" i="26"/>
  <c r="L27" i="26"/>
  <c r="N27" i="26" s="1"/>
  <c r="L16" i="26"/>
  <c r="M16" i="26" s="1"/>
  <c r="P33" i="26"/>
  <c r="L24" i="26"/>
  <c r="N24" i="26" s="1"/>
  <c r="L13" i="26"/>
  <c r="O13" i="26" s="1"/>
  <c r="S33" i="26"/>
  <c r="N33" i="26"/>
  <c r="L25" i="26"/>
  <c r="N25" i="26" s="1"/>
  <c r="L29" i="26"/>
  <c r="O29" i="26" s="1"/>
  <c r="L32" i="26"/>
  <c r="N32" i="26" s="1"/>
  <c r="L11" i="26"/>
  <c r="O11" i="26" s="1"/>
  <c r="M33" i="26"/>
  <c r="L67" i="26"/>
  <c r="L21" i="26"/>
  <c r="L71" i="26"/>
  <c r="L47" i="26"/>
  <c r="L39" i="26"/>
  <c r="S68" i="26"/>
  <c r="S63" i="26"/>
  <c r="S61" i="26"/>
  <c r="S71" i="26"/>
  <c r="S34" i="26"/>
  <c r="S78" i="26"/>
  <c r="S47" i="26"/>
  <c r="S44" i="26"/>
  <c r="S39" i="26"/>
  <c r="S25" i="26"/>
  <c r="S27" i="26"/>
  <c r="S29" i="26"/>
  <c r="S18" i="26"/>
  <c r="S10" i="26"/>
  <c r="S12" i="26"/>
  <c r="S14" i="26"/>
  <c r="L72" i="26"/>
  <c r="L62" i="26"/>
  <c r="N62" i="26" s="1"/>
  <c r="L43" i="26"/>
  <c r="L40" i="26"/>
  <c r="L68" i="26"/>
  <c r="L61" i="26"/>
  <c r="L78" i="26"/>
  <c r="L44" i="26"/>
  <c r="L54" i="26"/>
  <c r="L49" i="26"/>
  <c r="L48" i="26"/>
  <c r="L66" i="26"/>
  <c r="L76" i="26"/>
  <c r="L38" i="26"/>
  <c r="O38" i="26" s="1"/>
  <c r="L53" i="26"/>
  <c r="L41" i="26"/>
  <c r="L26" i="26"/>
  <c r="O26" i="26" s="1"/>
  <c r="L28" i="26"/>
  <c r="O28" i="26" s="1"/>
  <c r="L30" i="26"/>
  <c r="O30" i="26" s="1"/>
  <c r="L19" i="26"/>
  <c r="L17" i="26"/>
  <c r="M17" i="26" s="1"/>
  <c r="M9" i="26"/>
  <c r="S54" i="26"/>
  <c r="S49" i="26"/>
  <c r="S48" i="26"/>
  <c r="S66" i="26"/>
  <c r="S76" i="26"/>
  <c r="S38" i="26"/>
  <c r="S53" i="26"/>
  <c r="S41" i="26"/>
  <c r="S26" i="26"/>
  <c r="S28" i="26"/>
  <c r="S30" i="26"/>
  <c r="S19" i="26"/>
  <c r="S11" i="26"/>
  <c r="S13" i="26"/>
  <c r="S15" i="26"/>
  <c r="L69" i="26"/>
  <c r="L37" i="26"/>
  <c r="L63" i="26"/>
  <c r="L34" i="26"/>
  <c r="L18" i="26"/>
  <c r="L85" i="26"/>
  <c r="L50" i="26"/>
  <c r="L64" i="26"/>
  <c r="L70" i="26"/>
  <c r="L65" i="26"/>
  <c r="L77" i="26"/>
  <c r="L36" i="26"/>
  <c r="N36" i="26" s="1"/>
  <c r="L31" i="26"/>
  <c r="P31" i="26" s="1"/>
  <c r="L23" i="26"/>
  <c r="P23" i="26" s="1"/>
  <c r="L46" i="26"/>
  <c r="L10" i="26"/>
  <c r="N10" i="26" s="1"/>
  <c r="L12" i="26"/>
  <c r="N12" i="26" s="1"/>
  <c r="L14" i="26"/>
  <c r="M14" i="26" s="1"/>
  <c r="S85" i="26"/>
  <c r="S50" i="26"/>
  <c r="S64" i="26"/>
  <c r="S70" i="26"/>
  <c r="S65" i="26"/>
  <c r="S77" i="26"/>
  <c r="S36" i="26"/>
  <c r="S31" i="26"/>
  <c r="S23" i="26"/>
  <c r="S46" i="26"/>
  <c r="S20" i="26"/>
  <c r="S16" i="26"/>
  <c r="S72" i="26"/>
  <c r="S67" i="26"/>
  <c r="S62" i="26"/>
  <c r="S69" i="26"/>
  <c r="S37" i="26"/>
  <c r="S43" i="26"/>
  <c r="S40" i="26"/>
  <c r="S32" i="26"/>
  <c r="S24" i="26"/>
  <c r="S17" i="26"/>
  <c r="E29" i="28"/>
  <c r="E16" i="38" s="1"/>
  <c r="E36" i="38" s="1"/>
  <c r="N15" i="26"/>
  <c r="M15" i="26"/>
  <c r="P15" i="26"/>
  <c r="O15" i="26"/>
  <c r="E4" i="37"/>
  <c r="C16" i="28" l="1"/>
  <c r="B9" i="31" s="1"/>
  <c r="B20" i="31" s="1"/>
  <c r="C9" i="31"/>
  <c r="C20" i="31" s="1"/>
  <c r="J11" i="6"/>
  <c r="I11" i="6" s="1"/>
  <c r="F11" i="6"/>
  <c r="E11" i="6" s="1"/>
  <c r="S99" i="26"/>
  <c r="N34" i="26"/>
  <c r="N99" i="26" s="1"/>
  <c r="L99" i="26"/>
  <c r="B36" i="38"/>
  <c r="R59" i="26"/>
  <c r="L93" i="26"/>
  <c r="M25" i="26"/>
  <c r="M11" i="26"/>
  <c r="O25" i="26"/>
  <c r="P29" i="26"/>
  <c r="O27" i="26"/>
  <c r="H10" i="6"/>
  <c r="M32" i="26"/>
  <c r="M13" i="26"/>
  <c r="N13" i="26"/>
  <c r="G12" i="6"/>
  <c r="P13" i="26"/>
  <c r="P27" i="26"/>
  <c r="N29" i="26"/>
  <c r="L98" i="26"/>
  <c r="M29" i="26"/>
  <c r="P11" i="26"/>
  <c r="P25" i="26"/>
  <c r="D13" i="6"/>
  <c r="S98" i="26"/>
  <c r="P37" i="26"/>
  <c r="D10" i="6"/>
  <c r="P61" i="26"/>
  <c r="F13" i="6"/>
  <c r="J13" i="6"/>
  <c r="D14" i="6"/>
  <c r="H14" i="6"/>
  <c r="F16" i="6"/>
  <c r="J10" i="6"/>
  <c r="M27" i="26"/>
  <c r="H13" i="6"/>
  <c r="K12" i="6"/>
  <c r="I12" i="6"/>
  <c r="M37" i="26"/>
  <c r="O32" i="26"/>
  <c r="P32" i="26"/>
  <c r="S97" i="26"/>
  <c r="L97" i="26"/>
  <c r="M38" i="26"/>
  <c r="N9" i="26"/>
  <c r="P28" i="26"/>
  <c r="P9" i="26"/>
  <c r="P26" i="26"/>
  <c r="N17" i="26"/>
  <c r="P17" i="26"/>
  <c r="N26" i="26"/>
  <c r="O16" i="26"/>
  <c r="L95" i="26"/>
  <c r="N93" i="26"/>
  <c r="H28" i="27" s="1"/>
  <c r="L28" i="27" s="1"/>
  <c r="N47" i="26" s="1"/>
  <c r="M10" i="26"/>
  <c r="N38" i="26"/>
  <c r="P36" i="26"/>
  <c r="M93" i="26"/>
  <c r="P10" i="26"/>
  <c r="P38" i="26"/>
  <c r="N16" i="26"/>
  <c r="M28" i="26"/>
  <c r="P16" i="26"/>
  <c r="O10" i="26"/>
  <c r="O9" i="26"/>
  <c r="O93" i="26"/>
  <c r="N28" i="26"/>
  <c r="O54" i="26"/>
  <c r="N54" i="26"/>
  <c r="M54" i="26"/>
  <c r="C9" i="28" s="1"/>
  <c r="C28" i="28" s="1"/>
  <c r="P54" i="26"/>
  <c r="M24" i="26"/>
  <c r="P24" i="26"/>
  <c r="O24" i="26"/>
  <c r="N11" i="26"/>
  <c r="N14" i="26"/>
  <c r="O14" i="26"/>
  <c r="N23" i="26"/>
  <c r="M61" i="26"/>
  <c r="M36" i="26"/>
  <c r="S96" i="26"/>
  <c r="P14" i="26"/>
  <c r="N37" i="26"/>
  <c r="O37" i="26"/>
  <c r="O36" i="26"/>
  <c r="S95" i="26"/>
  <c r="O23" i="26"/>
  <c r="N61" i="26"/>
  <c r="M23" i="26"/>
  <c r="O61" i="26"/>
  <c r="P12" i="26"/>
  <c r="M31" i="26"/>
  <c r="O12" i="26"/>
  <c r="M34" i="26"/>
  <c r="M99" i="26" s="1"/>
  <c r="O34" i="26"/>
  <c r="O99" i="26" s="1"/>
  <c r="N31" i="26"/>
  <c r="P34" i="26"/>
  <c r="O31" i="26"/>
  <c r="M12" i="26"/>
  <c r="M62" i="26"/>
  <c r="O62" i="26"/>
  <c r="P30" i="26"/>
  <c r="P62" i="26"/>
  <c r="N30" i="26"/>
  <c r="M30" i="26"/>
  <c r="L96" i="26"/>
  <c r="O17" i="26"/>
  <c r="M26" i="26"/>
  <c r="H9" i="29"/>
  <c r="H15" i="29"/>
  <c r="D15" i="29" s="1"/>
  <c r="H16" i="29"/>
  <c r="D16" i="29" s="1"/>
  <c r="H17" i="29"/>
  <c r="D17" i="29" s="1"/>
  <c r="H19" i="29"/>
  <c r="H23" i="29"/>
  <c r="D23" i="29" s="1"/>
  <c r="H24" i="29"/>
  <c r="D24" i="29" s="1"/>
  <c r="G27" i="27"/>
  <c r="K11" i="6" l="1"/>
  <c r="G9" i="31"/>
  <c r="B27" i="31"/>
  <c r="G11" i="6"/>
  <c r="E10" i="6"/>
  <c r="J29" i="27"/>
  <c r="N29" i="27" s="1"/>
  <c r="P99" i="26"/>
  <c r="G29" i="27"/>
  <c r="K29" i="27" s="1"/>
  <c r="M51" i="26" s="1"/>
  <c r="H29" i="27"/>
  <c r="L29" i="27" s="1"/>
  <c r="N50" i="26" s="1"/>
  <c r="N95" i="26" s="1"/>
  <c r="H31" i="27" s="1"/>
  <c r="L31" i="27" s="1"/>
  <c r="I29" i="27"/>
  <c r="M29" i="27" s="1"/>
  <c r="K10" i="6"/>
  <c r="G13" i="6"/>
  <c r="I13" i="6"/>
  <c r="G10" i="6"/>
  <c r="G14" i="6"/>
  <c r="E14" i="6"/>
  <c r="K13" i="6"/>
  <c r="K14" i="6"/>
  <c r="I14" i="6"/>
  <c r="I10" i="6"/>
  <c r="E13" i="6"/>
  <c r="I28" i="27"/>
  <c r="M28" i="27" s="1"/>
  <c r="J28" i="27"/>
  <c r="N28" i="27" s="1"/>
  <c r="G28" i="27"/>
  <c r="K28" i="27" s="1"/>
  <c r="G20" i="31" l="1"/>
  <c r="G27" i="31" s="1"/>
  <c r="N51" i="26"/>
  <c r="N52" i="26"/>
  <c r="N53" i="26"/>
  <c r="P52" i="26"/>
  <c r="P51" i="26"/>
  <c r="O52" i="26"/>
  <c r="O51" i="26"/>
  <c r="M50" i="26"/>
  <c r="M52" i="26"/>
  <c r="M53" i="26"/>
  <c r="P47" i="26"/>
  <c r="O47" i="26"/>
  <c r="N49" i="26"/>
  <c r="N48" i="26"/>
  <c r="P53" i="26"/>
  <c r="P50" i="26"/>
  <c r="F8" i="28" s="1"/>
  <c r="F16" i="28" s="1"/>
  <c r="O53" i="26"/>
  <c r="O50" i="26"/>
  <c r="O95" i="26" s="1"/>
  <c r="I31" i="27" s="1"/>
  <c r="M31" i="27" s="1"/>
  <c r="M95" i="26" l="1"/>
  <c r="G31" i="27" s="1"/>
  <c r="K31" i="27" s="1"/>
  <c r="M48" i="26" s="1"/>
  <c r="C27" i="31"/>
  <c r="P95" i="26"/>
  <c r="J31" i="27" s="1"/>
  <c r="N31" i="27" s="1"/>
  <c r="P49" i="26" s="1"/>
  <c r="M47" i="26"/>
  <c r="O48" i="26"/>
  <c r="O49" i="26"/>
  <c r="M49" i="26" l="1"/>
  <c r="P48" i="26"/>
  <c r="B9" i="28" l="1"/>
  <c r="B10" i="28"/>
  <c r="B11" i="28"/>
  <c r="B12" i="28"/>
  <c r="B16" i="28" l="1"/>
  <c r="E9" i="28"/>
  <c r="J28" i="28" s="1"/>
  <c r="D9" i="28"/>
  <c r="F28" i="28" s="1"/>
  <c r="X14" i="42" l="1"/>
  <c r="F15" i="38"/>
  <c r="X14" i="41"/>
  <c r="C15" i="38"/>
  <c r="X14" i="32"/>
  <c r="K28" i="28"/>
  <c r="K15" i="38" s="1"/>
  <c r="J15" i="38"/>
  <c r="G28" i="28"/>
  <c r="G15" i="38" s="1"/>
  <c r="H28" i="28"/>
  <c r="H15" i="38" s="1"/>
  <c r="I28" i="28"/>
  <c r="I15" i="38" s="1"/>
  <c r="I8" i="28"/>
  <c r="I16" i="28" s="1"/>
  <c r="D8" i="28"/>
  <c r="E8" i="28"/>
  <c r="X37" i="41" l="1"/>
  <c r="X35" i="41"/>
  <c r="X33" i="41"/>
  <c r="X31" i="41"/>
  <c r="X29" i="41"/>
  <c r="X27" i="41"/>
  <c r="X25" i="41"/>
  <c r="X23" i="41"/>
  <c r="X21" i="41"/>
  <c r="X38" i="41"/>
  <c r="X30" i="41"/>
  <c r="X22" i="41"/>
  <c r="X32" i="41"/>
  <c r="X24" i="41"/>
  <c r="X34" i="41"/>
  <c r="X26" i="41"/>
  <c r="X36" i="41"/>
  <c r="X28" i="41"/>
  <c r="X20" i="41"/>
  <c r="X38" i="32"/>
  <c r="X20" i="32"/>
  <c r="X41" i="32" s="1"/>
  <c r="X20" i="42"/>
  <c r="X40" i="42" s="1"/>
  <c r="X38" i="42"/>
  <c r="C14" i="31"/>
  <c r="G14" i="31" s="1"/>
  <c r="E16" i="28"/>
  <c r="C11" i="31"/>
  <c r="G11" i="31" s="1"/>
  <c r="D16" i="28"/>
  <c r="I35" i="38"/>
  <c r="H35" i="38"/>
  <c r="K35" i="38"/>
  <c r="J35" i="38" s="1"/>
  <c r="G35" i="38"/>
  <c r="F35" i="38" s="1"/>
  <c r="X34" i="42"/>
  <c r="X30" i="42"/>
  <c r="X26" i="42"/>
  <c r="X22" i="42"/>
  <c r="X37" i="42"/>
  <c r="X33" i="42"/>
  <c r="X29" i="42"/>
  <c r="X25" i="42"/>
  <c r="X35" i="42"/>
  <c r="X31" i="42"/>
  <c r="X27" i="42"/>
  <c r="X23" i="42"/>
  <c r="X21" i="42"/>
  <c r="X36" i="42"/>
  <c r="X32" i="42"/>
  <c r="X28" i="42"/>
  <c r="X24" i="42"/>
  <c r="R27" i="28"/>
  <c r="F7" i="44" s="1"/>
  <c r="C21" i="31"/>
  <c r="F15" i="44" l="1"/>
  <c r="J15" i="44" s="1"/>
  <c r="F32" i="44"/>
  <c r="J32" i="44" s="1"/>
  <c r="F14" i="44"/>
  <c r="J14" i="44" s="1"/>
  <c r="J38" i="44" s="1"/>
  <c r="R14" i="38"/>
  <c r="W27" i="28"/>
  <c r="W14" i="38" s="1"/>
  <c r="U27" i="28"/>
  <c r="U14" i="38" s="1"/>
  <c r="T27" i="28"/>
  <c r="T14" i="38" s="1"/>
  <c r="V27" i="28"/>
  <c r="V14" i="38" s="1"/>
  <c r="C26" i="31"/>
  <c r="S27" i="28"/>
  <c r="S14" i="38" s="1"/>
  <c r="S33" i="38" s="1"/>
  <c r="R33" i="38" s="1"/>
  <c r="T33" i="38" l="1"/>
  <c r="T42" i="38" s="1"/>
  <c r="F23" i="44"/>
  <c r="J23" i="44" s="1"/>
  <c r="F31" i="44"/>
  <c r="J31" i="44" s="1"/>
  <c r="F27" i="44"/>
  <c r="J27" i="44" s="1"/>
  <c r="F20" i="44"/>
  <c r="J20" i="44" s="1"/>
  <c r="F28" i="44"/>
  <c r="J28" i="44" s="1"/>
  <c r="F21" i="44"/>
  <c r="J21" i="44" s="1"/>
  <c r="F25" i="44"/>
  <c r="J25" i="44" s="1"/>
  <c r="F22" i="44"/>
  <c r="J22" i="44" s="1"/>
  <c r="F30" i="44"/>
  <c r="J30" i="44" s="1"/>
  <c r="F19" i="44"/>
  <c r="J19" i="44" s="1"/>
  <c r="F26" i="44"/>
  <c r="J26" i="44" s="1"/>
  <c r="F29" i="44"/>
  <c r="J29" i="44" s="1"/>
  <c r="F16" i="44"/>
  <c r="J16" i="44" s="1"/>
  <c r="F24" i="44"/>
  <c r="J24" i="44" s="1"/>
  <c r="F18" i="44"/>
  <c r="J18" i="44" s="1"/>
  <c r="F17" i="44"/>
  <c r="J17" i="44" s="1"/>
  <c r="W33" i="38"/>
  <c r="W42" i="38" s="1"/>
  <c r="U33" i="38"/>
  <c r="U42" i="38" s="1"/>
  <c r="V33" i="38"/>
  <c r="V42" i="38" s="1"/>
  <c r="X42" i="41"/>
  <c r="X37" i="32"/>
  <c r="X22" i="32"/>
  <c r="X26" i="32"/>
  <c r="X34" i="32"/>
  <c r="X30" i="32"/>
  <c r="X27" i="32"/>
  <c r="X36" i="32"/>
  <c r="X29" i="32"/>
  <c r="X35" i="32"/>
  <c r="X28" i="32"/>
  <c r="X21" i="32"/>
  <c r="X31" i="32"/>
  <c r="X24" i="32"/>
  <c r="X33" i="32"/>
  <c r="X23" i="32"/>
  <c r="X32" i="32"/>
  <c r="X25" i="32"/>
  <c r="R42" i="38"/>
  <c r="D28" i="28"/>
  <c r="D15" i="38" s="1"/>
  <c r="D35" i="38" s="1"/>
  <c r="C35" i="38" s="1"/>
  <c r="E28" i="28"/>
  <c r="E15" i="38" s="1"/>
  <c r="E19" i="37"/>
  <c r="E12" i="37"/>
  <c r="E13" i="37" s="1"/>
  <c r="J27" i="29" l="1"/>
  <c r="M27" i="29"/>
  <c r="L27" i="29" s="1"/>
  <c r="J21" i="28" s="1"/>
  <c r="G27" i="29"/>
  <c r="I27" i="29"/>
  <c r="K27" i="29"/>
  <c r="F27" i="29"/>
  <c r="F38" i="44"/>
  <c r="E35" i="38"/>
  <c r="S42" i="38"/>
  <c r="B11" i="31"/>
  <c r="B14" i="31"/>
  <c r="J16" i="6"/>
  <c r="H27" i="29" l="1"/>
  <c r="E27" i="29"/>
  <c r="D21" i="31"/>
  <c r="E21" i="31" s="1"/>
  <c r="R34" i="38" s="1"/>
  <c r="J22" i="28"/>
  <c r="J9" i="38" s="1"/>
  <c r="J23" i="28"/>
  <c r="B35" i="38"/>
  <c r="D27" i="29" l="1"/>
  <c r="C27" i="29" s="1"/>
  <c r="E26" i="31"/>
  <c r="H21" i="31"/>
  <c r="K22" i="28"/>
  <c r="K9" i="38" s="1"/>
  <c r="O8" i="42"/>
  <c r="Q8" i="42" s="1"/>
  <c r="F21" i="28"/>
  <c r="O7" i="41" s="1"/>
  <c r="F22" i="28"/>
  <c r="G22" i="28" s="1"/>
  <c r="G9" i="38" s="1"/>
  <c r="F23" i="28"/>
  <c r="F10" i="38" s="1"/>
  <c r="C23" i="28"/>
  <c r="C21" i="28"/>
  <c r="C22" i="28"/>
  <c r="P9" i="42"/>
  <c r="O7" i="42"/>
  <c r="K21" i="28"/>
  <c r="K8" i="38" s="1"/>
  <c r="J8" i="38"/>
  <c r="K23" i="28"/>
  <c r="K10" i="38" s="1"/>
  <c r="J10" i="38"/>
  <c r="K33" i="38" l="1"/>
  <c r="J33" i="38" s="1"/>
  <c r="J42" i="38" s="1"/>
  <c r="P38" i="42"/>
  <c r="P20" i="42"/>
  <c r="P40" i="42" s="1"/>
  <c r="R9" i="42"/>
  <c r="Q7" i="42"/>
  <c r="O38" i="42"/>
  <c r="O20" i="42"/>
  <c r="H26" i="31"/>
  <c r="I26" i="31" s="1"/>
  <c r="I21" i="31"/>
  <c r="Q7" i="41"/>
  <c r="H22" i="28"/>
  <c r="H9" i="38" s="1"/>
  <c r="F9" i="38"/>
  <c r="I22" i="28"/>
  <c r="I9" i="38" s="1"/>
  <c r="O8" i="41"/>
  <c r="O38" i="41" s="1"/>
  <c r="I23" i="28"/>
  <c r="I10" i="38" s="1"/>
  <c r="P9" i="41"/>
  <c r="H21" i="28"/>
  <c r="H8" i="38" s="1"/>
  <c r="H23" i="28"/>
  <c r="H10" i="38" s="1"/>
  <c r="G21" i="28"/>
  <c r="G8" i="38" s="1"/>
  <c r="I21" i="28"/>
  <c r="I8" i="38" s="1"/>
  <c r="G23" i="28"/>
  <c r="G10" i="38" s="1"/>
  <c r="F8" i="38"/>
  <c r="O34" i="42"/>
  <c r="O30" i="42"/>
  <c r="O26" i="42"/>
  <c r="O22" i="42"/>
  <c r="O37" i="42"/>
  <c r="O33" i="42"/>
  <c r="O29" i="42"/>
  <c r="O25" i="42"/>
  <c r="O35" i="42"/>
  <c r="O31" i="42"/>
  <c r="O27" i="42"/>
  <c r="O23" i="42"/>
  <c r="O21" i="42"/>
  <c r="O36" i="42"/>
  <c r="O32" i="42"/>
  <c r="O28" i="42"/>
  <c r="O24" i="42"/>
  <c r="O40" i="42"/>
  <c r="P35" i="42"/>
  <c r="P31" i="42"/>
  <c r="P27" i="42"/>
  <c r="P23" i="42"/>
  <c r="P34" i="42"/>
  <c r="P30" i="42"/>
  <c r="P26" i="42"/>
  <c r="P22" i="42"/>
  <c r="P36" i="42"/>
  <c r="P32" i="42"/>
  <c r="P28" i="42"/>
  <c r="P24" i="42"/>
  <c r="P37" i="42"/>
  <c r="P33" i="42"/>
  <c r="P29" i="42"/>
  <c r="P25" i="42"/>
  <c r="P21" i="42"/>
  <c r="O8" i="32"/>
  <c r="Q8" i="32" s="1"/>
  <c r="O7" i="32"/>
  <c r="P9" i="32"/>
  <c r="C8" i="38"/>
  <c r="D21" i="28"/>
  <c r="E21" i="28"/>
  <c r="E8" i="38" s="1"/>
  <c r="C10" i="38"/>
  <c r="D23" i="28"/>
  <c r="E23" i="28"/>
  <c r="E10" i="38" s="1"/>
  <c r="C9" i="38"/>
  <c r="D22" i="28"/>
  <c r="E22" i="28"/>
  <c r="E9" i="38" s="1"/>
  <c r="O27" i="41" l="1"/>
  <c r="O35" i="41"/>
  <c r="O24" i="41"/>
  <c r="O32" i="41"/>
  <c r="P37" i="41"/>
  <c r="P35" i="41"/>
  <c r="P33" i="41"/>
  <c r="P31" i="41"/>
  <c r="P29" i="41"/>
  <c r="P27" i="41"/>
  <c r="P25" i="41"/>
  <c r="P23" i="41"/>
  <c r="P21" i="41"/>
  <c r="P38" i="41"/>
  <c r="P32" i="41"/>
  <c r="P24" i="41"/>
  <c r="P34" i="41"/>
  <c r="P26" i="41"/>
  <c r="P22" i="41"/>
  <c r="P36" i="41"/>
  <c r="P28" i="41"/>
  <c r="P20" i="41"/>
  <c r="P30" i="41"/>
  <c r="O21" i="41"/>
  <c r="O29" i="41"/>
  <c r="O37" i="41"/>
  <c r="O26" i="41"/>
  <c r="O34" i="41"/>
  <c r="O23" i="41"/>
  <c r="O31" i="41"/>
  <c r="O20" i="41"/>
  <c r="O28" i="41"/>
  <c r="O36" i="41"/>
  <c r="O25" i="41"/>
  <c r="O33" i="41"/>
  <c r="O22" i="41"/>
  <c r="O30" i="41"/>
  <c r="R38" i="42"/>
  <c r="R20" i="42"/>
  <c r="R40" i="42" s="1"/>
  <c r="P38" i="32"/>
  <c r="P20" i="32"/>
  <c r="P41" i="32" s="1"/>
  <c r="R9" i="32"/>
  <c r="O42" i="41"/>
  <c r="Q38" i="42"/>
  <c r="AA38" i="42" s="1"/>
  <c r="Q20" i="42"/>
  <c r="AA20" i="42" s="1"/>
  <c r="AA40" i="42" s="1"/>
  <c r="O38" i="32"/>
  <c r="O21" i="32"/>
  <c r="O22" i="32"/>
  <c r="O24" i="32"/>
  <c r="O23" i="32"/>
  <c r="O20" i="32"/>
  <c r="O41" i="32" s="1"/>
  <c r="Q7" i="32"/>
  <c r="Q8" i="41"/>
  <c r="Q35" i="41" s="1"/>
  <c r="P42" i="41"/>
  <c r="R9" i="41"/>
  <c r="I33" i="38"/>
  <c r="I42" i="38" s="1"/>
  <c r="H33" i="38"/>
  <c r="H42" i="38" s="1"/>
  <c r="G33" i="38"/>
  <c r="F33" i="38" s="1"/>
  <c r="E33" i="38"/>
  <c r="E42" i="38" s="1"/>
  <c r="R37" i="42"/>
  <c r="R33" i="42"/>
  <c r="R29" i="42"/>
  <c r="R25" i="42"/>
  <c r="R21" i="42"/>
  <c r="R32" i="42"/>
  <c r="R28" i="42"/>
  <c r="R34" i="42"/>
  <c r="R30" i="42"/>
  <c r="R26" i="42"/>
  <c r="R22" i="42"/>
  <c r="R36" i="42"/>
  <c r="R24" i="42"/>
  <c r="R35" i="42"/>
  <c r="R31" i="42"/>
  <c r="R27" i="42"/>
  <c r="R23" i="42"/>
  <c r="Q36" i="42"/>
  <c r="AA36" i="42" s="1"/>
  <c r="Q32" i="42"/>
  <c r="AA32" i="42" s="1"/>
  <c r="Q28" i="42"/>
  <c r="AA28" i="42" s="1"/>
  <c r="Q24" i="42"/>
  <c r="AA24" i="42" s="1"/>
  <c r="Q35" i="42"/>
  <c r="AA35" i="42" s="1"/>
  <c r="Q31" i="42"/>
  <c r="AA31" i="42" s="1"/>
  <c r="Q27" i="42"/>
  <c r="AA27" i="42" s="1"/>
  <c r="Q37" i="42"/>
  <c r="AA37" i="42" s="1"/>
  <c r="Q33" i="42"/>
  <c r="AA33" i="42" s="1"/>
  <c r="Q29" i="42"/>
  <c r="AA29" i="42" s="1"/>
  <c r="Q25" i="42"/>
  <c r="AA25" i="42" s="1"/>
  <c r="Q21" i="42"/>
  <c r="AA21" i="42" s="1"/>
  <c r="Q23" i="42"/>
  <c r="AA23" i="42" s="1"/>
  <c r="Q34" i="42"/>
  <c r="AA34" i="42" s="1"/>
  <c r="Q30" i="42"/>
  <c r="AA30" i="42" s="1"/>
  <c r="Q26" i="42"/>
  <c r="AA26" i="42" s="1"/>
  <c r="Q22" i="42"/>
  <c r="AA22" i="42" s="1"/>
  <c r="D9" i="38"/>
  <c r="D8" i="38"/>
  <c r="D10" i="38"/>
  <c r="Q36" i="41" l="1"/>
  <c r="Q33" i="41"/>
  <c r="AA33" i="41" s="1"/>
  <c r="R38" i="41"/>
  <c r="R36" i="41"/>
  <c r="R34" i="41"/>
  <c r="R32" i="41"/>
  <c r="R30" i="41"/>
  <c r="R28" i="41"/>
  <c r="R26" i="41"/>
  <c r="R24" i="41"/>
  <c r="R22" i="41"/>
  <c r="R20" i="41"/>
  <c r="R42" i="41" s="1"/>
  <c r="R37" i="41"/>
  <c r="R33" i="41"/>
  <c r="R25" i="41"/>
  <c r="R35" i="41"/>
  <c r="R27" i="41"/>
  <c r="R21" i="41"/>
  <c r="R31" i="41"/>
  <c r="R29" i="41"/>
  <c r="R23" i="41"/>
  <c r="Q22" i="41"/>
  <c r="Q30" i="41"/>
  <c r="AA30" i="41" s="1"/>
  <c r="Q38" i="41"/>
  <c r="AA38" i="41" s="1"/>
  <c r="Q27" i="41"/>
  <c r="Q28" i="41"/>
  <c r="AA28" i="41" s="1"/>
  <c r="Q25" i="41"/>
  <c r="AA25" i="41" s="1"/>
  <c r="Q24" i="41"/>
  <c r="AA24" i="41" s="1"/>
  <c r="Q32" i="41"/>
  <c r="Q21" i="41"/>
  <c r="AA21" i="41" s="1"/>
  <c r="Q29" i="41"/>
  <c r="AA29" i="41" s="1"/>
  <c r="Q37" i="41"/>
  <c r="AA37" i="41" s="1"/>
  <c r="Q20" i="41"/>
  <c r="AA20" i="41" s="1"/>
  <c r="AA42" i="41" s="1"/>
  <c r="Q26" i="41"/>
  <c r="Q34" i="41"/>
  <c r="AA34" i="41" s="1"/>
  <c r="Q23" i="41"/>
  <c r="AA23" i="41" s="1"/>
  <c r="Q31" i="41"/>
  <c r="Q20" i="32"/>
  <c r="Q38" i="32"/>
  <c r="AA38" i="32" s="1"/>
  <c r="R38" i="32"/>
  <c r="R20" i="32"/>
  <c r="R41" i="32" s="1"/>
  <c r="D33" i="38"/>
  <c r="C33" i="38" s="1"/>
  <c r="B33" i="38" s="1"/>
  <c r="B42" i="38" s="1"/>
  <c r="AA36" i="41"/>
  <c r="AA32" i="41"/>
  <c r="AA35" i="41"/>
  <c r="AA31" i="41"/>
  <c r="AA27" i="41"/>
  <c r="AA26" i="41"/>
  <c r="AA22" i="41"/>
  <c r="D14" i="31"/>
  <c r="E14" i="31" s="1"/>
  <c r="Q40" i="42"/>
  <c r="P26" i="32"/>
  <c r="P23" i="32"/>
  <c r="P24" i="32"/>
  <c r="P28" i="32"/>
  <c r="P35" i="32"/>
  <c r="P33" i="32"/>
  <c r="P22" i="32"/>
  <c r="P32" i="32"/>
  <c r="P30" i="32"/>
  <c r="P29" i="32"/>
  <c r="P21" i="32"/>
  <c r="P27" i="32"/>
  <c r="P36" i="32"/>
  <c r="P34" i="32"/>
  <c r="P31" i="32"/>
  <c r="P37" i="32"/>
  <c r="P25" i="32"/>
  <c r="O28" i="32"/>
  <c r="O25" i="32"/>
  <c r="O34" i="32"/>
  <c r="O32" i="32"/>
  <c r="O37" i="32"/>
  <c r="O33" i="32"/>
  <c r="O26" i="32"/>
  <c r="O30" i="32"/>
  <c r="O27" i="32"/>
  <c r="O29" i="32"/>
  <c r="O36" i="32"/>
  <c r="O35" i="32"/>
  <c r="O31" i="32"/>
  <c r="B21" i="31"/>
  <c r="B26" i="31" s="1"/>
  <c r="H14" i="31" l="1"/>
  <c r="I14" i="31" s="1"/>
  <c r="J34" i="38"/>
  <c r="Q41" i="32"/>
  <c r="AA20" i="32"/>
  <c r="AA41" i="32" s="1"/>
  <c r="D9" i="31" s="1"/>
  <c r="E9" i="31" s="1"/>
  <c r="E20" i="31" s="1"/>
  <c r="D11" i="31"/>
  <c r="Q42" i="41"/>
  <c r="Q26" i="32"/>
  <c r="AA26" i="32" s="1"/>
  <c r="Q23" i="32"/>
  <c r="AA23" i="32" s="1"/>
  <c r="Q30" i="32"/>
  <c r="AA30" i="32" s="1"/>
  <c r="Q36" i="32"/>
  <c r="AA36" i="32" s="1"/>
  <c r="Q37" i="32"/>
  <c r="AA37" i="32" s="1"/>
  <c r="Q31" i="32"/>
  <c r="AA31" i="32" s="1"/>
  <c r="Q33" i="32"/>
  <c r="AA33" i="32" s="1"/>
  <c r="Q34" i="32"/>
  <c r="AA34" i="32" s="1"/>
  <c r="Q25" i="32"/>
  <c r="AA25" i="32" s="1"/>
  <c r="Q27" i="32"/>
  <c r="AA27" i="32" s="1"/>
  <c r="Q29" i="32"/>
  <c r="AA29" i="32" s="1"/>
  <c r="Q22" i="32"/>
  <c r="AA22" i="32" s="1"/>
  <c r="Q28" i="32"/>
  <c r="AA28" i="32" s="1"/>
  <c r="Q35" i="32"/>
  <c r="AA35" i="32" s="1"/>
  <c r="Q24" i="32"/>
  <c r="AA24" i="32" s="1"/>
  <c r="Q32" i="32"/>
  <c r="AA32" i="32" s="1"/>
  <c r="Q21" i="32"/>
  <c r="AA21" i="32" s="1"/>
  <c r="R25" i="32"/>
  <c r="R23" i="32"/>
  <c r="R30" i="32"/>
  <c r="R21" i="32"/>
  <c r="R33" i="32"/>
  <c r="R32" i="32"/>
  <c r="R35" i="32"/>
  <c r="R29" i="32"/>
  <c r="R27" i="32"/>
  <c r="R26" i="32"/>
  <c r="R31" i="32"/>
  <c r="R24" i="32"/>
  <c r="R36" i="32"/>
  <c r="R22" i="32"/>
  <c r="R28" i="32"/>
  <c r="R34" i="32"/>
  <c r="R37" i="32"/>
  <c r="H9" i="31" l="1"/>
  <c r="H20" i="31" s="1"/>
  <c r="I20" i="31" s="1"/>
  <c r="E27" i="31"/>
  <c r="E11" i="31"/>
  <c r="H11" i="31" s="1"/>
  <c r="I11" i="31" s="1"/>
  <c r="K42" i="38"/>
  <c r="H27" i="31" l="1"/>
  <c r="I27" i="31" s="1"/>
  <c r="G36" i="31" s="1"/>
  <c r="I9" i="31"/>
  <c r="F34" i="38"/>
  <c r="C34" i="38"/>
  <c r="B34" i="38" s="1"/>
  <c r="D42" i="38"/>
  <c r="G42" i="38"/>
  <c r="F42" i="38"/>
  <c r="C42" i="38" l="1"/>
  <c r="C14" i="29" l="1"/>
  <c r="C15" i="29"/>
  <c r="C16" i="29"/>
  <c r="C22" i="29"/>
  <c r="C17" i="29"/>
  <c r="C24" i="29"/>
  <c r="C23" i="29"/>
  <c r="L81" i="26" l="1"/>
  <c r="S81" i="26"/>
  <c r="L82" i="26"/>
  <c r="S82" i="26"/>
  <c r="S80" i="26"/>
  <c r="L80" i="26"/>
  <c r="K91" i="26"/>
  <c r="S79" i="26"/>
  <c r="L79" i="26"/>
  <c r="L83" i="26"/>
  <c r="S83" i="26"/>
  <c r="L84" i="26"/>
  <c r="S84" i="26"/>
  <c r="L91" i="26" l="1"/>
  <c r="S91" i="26"/>
  <c r="D15" i="6"/>
  <c r="D16" i="6" s="1"/>
  <c r="N60" i="26"/>
  <c r="N55" i="26"/>
  <c r="H15" i="6"/>
  <c r="P60" i="26"/>
  <c r="P55" i="26"/>
  <c r="M60" i="26"/>
  <c r="M55" i="26"/>
  <c r="O55" i="26"/>
  <c r="O60" i="26"/>
  <c r="P91" i="26" l="1"/>
  <c r="E10" i="28"/>
  <c r="O91" i="26"/>
  <c r="D10" i="28"/>
  <c r="N91" i="26"/>
  <c r="R55" i="26"/>
  <c r="Q55" i="26"/>
  <c r="G15" i="6"/>
  <c r="E15" i="6"/>
  <c r="F10" i="28"/>
  <c r="R60" i="26"/>
  <c r="H10" i="28" s="1"/>
  <c r="Q60" i="26"/>
  <c r="G10" i="28" s="1"/>
  <c r="H16" i="6"/>
  <c r="I15" i="6"/>
  <c r="K15" i="6"/>
  <c r="I16" i="6" l="1"/>
  <c r="K16" i="6"/>
  <c r="G16" i="6"/>
  <c r="E16" i="6"/>
  <c r="K39" i="43" l="1"/>
  <c r="L39" i="43" l="1"/>
  <c r="M91" i="26" l="1"/>
  <c r="D29" i="29"/>
  <c r="C29" i="29" s="1"/>
  <c r="J25" i="27"/>
  <c r="L25" i="27" l="1"/>
  <c r="K25" i="27"/>
  <c r="M25" i="27"/>
  <c r="N25" i="27"/>
  <c r="J26" i="27"/>
  <c r="D28" i="29"/>
  <c r="M26" i="27" l="1"/>
  <c r="L26" i="27"/>
  <c r="K26" i="27"/>
  <c r="N26" i="27"/>
  <c r="M20" i="26"/>
  <c r="M81" i="26"/>
  <c r="M79" i="26"/>
  <c r="M80" i="26"/>
  <c r="M78" i="26"/>
  <c r="M84" i="26"/>
  <c r="M75" i="26"/>
  <c r="M76" i="26"/>
  <c r="M82" i="26"/>
  <c r="M77" i="26"/>
  <c r="M85" i="26"/>
  <c r="M83" i="26"/>
  <c r="C15" i="28" s="1"/>
  <c r="C40" i="28" s="1"/>
  <c r="M41" i="26"/>
  <c r="M74" i="26"/>
  <c r="M73" i="26"/>
  <c r="C14" i="28" s="1"/>
  <c r="C39" i="28" s="1"/>
  <c r="N85" i="26"/>
  <c r="N76" i="26"/>
  <c r="N82" i="26"/>
  <c r="N74" i="26"/>
  <c r="N77" i="26"/>
  <c r="N20" i="26"/>
  <c r="N81" i="26"/>
  <c r="N80" i="26"/>
  <c r="N41" i="26"/>
  <c r="N75" i="26"/>
  <c r="N78" i="26"/>
  <c r="N79" i="26"/>
  <c r="N84" i="26"/>
  <c r="N83" i="26"/>
  <c r="D15" i="28" s="1"/>
  <c r="F40" i="28" s="1"/>
  <c r="N73" i="26"/>
  <c r="D14" i="28" s="1"/>
  <c r="F39" i="28" s="1"/>
  <c r="P76" i="26"/>
  <c r="P80" i="26"/>
  <c r="P74" i="26"/>
  <c r="P77" i="26"/>
  <c r="P79" i="26"/>
  <c r="P84" i="26"/>
  <c r="P41" i="26"/>
  <c r="P81" i="26"/>
  <c r="P85" i="26"/>
  <c r="P82" i="26"/>
  <c r="P78" i="26"/>
  <c r="P75" i="26"/>
  <c r="P20" i="26"/>
  <c r="P83" i="26"/>
  <c r="P73" i="26"/>
  <c r="C28" i="29"/>
  <c r="E10" i="27"/>
  <c r="O77" i="26"/>
  <c r="O41" i="26"/>
  <c r="O82" i="26"/>
  <c r="O85" i="26"/>
  <c r="O76" i="26"/>
  <c r="O80" i="26"/>
  <c r="O20" i="26"/>
  <c r="O75" i="26"/>
  <c r="O81" i="26"/>
  <c r="O79" i="26"/>
  <c r="O84" i="26"/>
  <c r="O83" i="26"/>
  <c r="E15" i="28" s="1"/>
  <c r="J40" i="28" s="1"/>
  <c r="O78" i="26"/>
  <c r="O74" i="26"/>
  <c r="O73" i="26"/>
  <c r="E14" i="28" s="1"/>
  <c r="J39" i="28" s="1"/>
  <c r="J26" i="38" l="1"/>
  <c r="U10" i="42"/>
  <c r="K39" i="28"/>
  <c r="K26" i="38" s="1"/>
  <c r="P21" i="26"/>
  <c r="P44" i="26"/>
  <c r="P40" i="26"/>
  <c r="P18" i="26"/>
  <c r="P46" i="26"/>
  <c r="P43" i="26"/>
  <c r="P39" i="26"/>
  <c r="P45" i="26"/>
  <c r="P19" i="26"/>
  <c r="M40" i="26"/>
  <c r="M44" i="26"/>
  <c r="M19" i="26"/>
  <c r="M18" i="26"/>
  <c r="M45" i="26"/>
  <c r="M43" i="26"/>
  <c r="M21" i="26"/>
  <c r="M46" i="26"/>
  <c r="M39" i="26"/>
  <c r="F14" i="28"/>
  <c r="H39" i="28"/>
  <c r="H26" i="38" s="1"/>
  <c r="F26" i="38"/>
  <c r="U10" i="41"/>
  <c r="G39" i="28"/>
  <c r="G26" i="38" s="1"/>
  <c r="I39" i="28"/>
  <c r="I26" i="38" s="1"/>
  <c r="C27" i="38"/>
  <c r="E40" i="28"/>
  <c r="E27" i="38" s="1"/>
  <c r="V10" i="32"/>
  <c r="D40" i="28"/>
  <c r="D27" i="38" s="1"/>
  <c r="N46" i="26"/>
  <c r="N45" i="26"/>
  <c r="N40" i="26"/>
  <c r="N44" i="26"/>
  <c r="N39" i="26"/>
  <c r="N43" i="26"/>
  <c r="N18" i="26"/>
  <c r="N21" i="26"/>
  <c r="N19" i="26"/>
  <c r="H10" i="27"/>
  <c r="G10" i="27"/>
  <c r="J27" i="38"/>
  <c r="V10" i="42"/>
  <c r="K40" i="28"/>
  <c r="K27" i="38" s="1"/>
  <c r="F15" i="28"/>
  <c r="F27" i="38"/>
  <c r="V10" i="41"/>
  <c r="H40" i="28"/>
  <c r="H27" i="38" s="1"/>
  <c r="G40" i="28"/>
  <c r="G27" i="38" s="1"/>
  <c r="I40" i="28"/>
  <c r="I27" i="38" s="1"/>
  <c r="I41" i="38" s="1"/>
  <c r="C26" i="38"/>
  <c r="U10" i="32"/>
  <c r="D39" i="28"/>
  <c r="D26" i="38" s="1"/>
  <c r="E39" i="28"/>
  <c r="E26" i="38" s="1"/>
  <c r="O40" i="26"/>
  <c r="O46" i="26"/>
  <c r="O19" i="26"/>
  <c r="O45" i="26"/>
  <c r="O43" i="26"/>
  <c r="O39" i="26"/>
  <c r="O21" i="26"/>
  <c r="O44" i="26"/>
  <c r="O18" i="26"/>
  <c r="V38" i="41" l="1"/>
  <c r="V36" i="41"/>
  <c r="V34" i="41"/>
  <c r="V32" i="41"/>
  <c r="V30" i="41"/>
  <c r="V28" i="41"/>
  <c r="V26" i="41"/>
  <c r="V24" i="41"/>
  <c r="V22" i="41"/>
  <c r="V20" i="41"/>
  <c r="V37" i="41"/>
  <c r="V35" i="41"/>
  <c r="V27" i="41"/>
  <c r="V29" i="41"/>
  <c r="V21" i="41"/>
  <c r="V31" i="41"/>
  <c r="V23" i="41"/>
  <c r="V33" i="41"/>
  <c r="V25" i="41"/>
  <c r="U37" i="41"/>
  <c r="U35" i="41"/>
  <c r="U33" i="41"/>
  <c r="U31" i="41"/>
  <c r="U29" i="41"/>
  <c r="U27" i="41"/>
  <c r="U25" i="41"/>
  <c r="U23" i="41"/>
  <c r="U21" i="41"/>
  <c r="U38" i="41"/>
  <c r="U36" i="41"/>
  <c r="U34" i="41"/>
  <c r="U32" i="41"/>
  <c r="U30" i="41"/>
  <c r="U28" i="41"/>
  <c r="U26" i="41"/>
  <c r="U24" i="41"/>
  <c r="U22" i="41"/>
  <c r="U20" i="41"/>
  <c r="E41" i="38"/>
  <c r="I40" i="38"/>
  <c r="H40" i="38"/>
  <c r="V34" i="42"/>
  <c r="V28" i="42"/>
  <c r="V33" i="42"/>
  <c r="V37" i="42"/>
  <c r="V31" i="42"/>
  <c r="V20" i="42"/>
  <c r="V40" i="42" s="1"/>
  <c r="V35" i="42"/>
  <c r="V32" i="42"/>
  <c r="V38" i="42"/>
  <c r="V30" i="42"/>
  <c r="V23" i="42"/>
  <c r="V26" i="42"/>
  <c r="V25" i="42"/>
  <c r="V27" i="42"/>
  <c r="V36" i="42"/>
  <c r="V29" i="42"/>
  <c r="V21" i="42"/>
  <c r="V24" i="42"/>
  <c r="V22" i="42"/>
  <c r="E40" i="38"/>
  <c r="H41" i="38"/>
  <c r="K41" i="38"/>
  <c r="J41" i="38" s="1"/>
  <c r="S22" i="26"/>
  <c r="S42" i="26"/>
  <c r="D40" i="38"/>
  <c r="C40" i="38" s="1"/>
  <c r="B40" i="38" s="1"/>
  <c r="V42" i="41"/>
  <c r="G40" i="38"/>
  <c r="F40" i="38" s="1"/>
  <c r="K40" i="38"/>
  <c r="J40" i="38" s="1"/>
  <c r="U20" i="32"/>
  <c r="U41" i="32" s="1"/>
  <c r="U21" i="32"/>
  <c r="U29" i="32"/>
  <c r="U30" i="32"/>
  <c r="U22" i="32"/>
  <c r="U27" i="32"/>
  <c r="U24" i="32"/>
  <c r="U32" i="32"/>
  <c r="U33" i="32"/>
  <c r="U25" i="32"/>
  <c r="U34" i="32"/>
  <c r="U23" i="32"/>
  <c r="U31" i="32"/>
  <c r="U36" i="32"/>
  <c r="U28" i="32"/>
  <c r="U37" i="32"/>
  <c r="U26" i="32"/>
  <c r="U38" i="32"/>
  <c r="U35" i="32"/>
  <c r="D41" i="38"/>
  <c r="C41" i="38" s="1"/>
  <c r="B41" i="38" s="1"/>
  <c r="U42" i="41"/>
  <c r="U36" i="42"/>
  <c r="U29" i="42"/>
  <c r="U25" i="42"/>
  <c r="U32" i="42"/>
  <c r="U22" i="42"/>
  <c r="U38" i="42"/>
  <c r="U28" i="42"/>
  <c r="U30" i="42"/>
  <c r="U34" i="42"/>
  <c r="U37" i="42"/>
  <c r="U35" i="42"/>
  <c r="U23" i="42"/>
  <c r="U20" i="42"/>
  <c r="U26" i="42"/>
  <c r="U21" i="42"/>
  <c r="U31" i="42"/>
  <c r="U27" i="42"/>
  <c r="U24" i="42"/>
  <c r="U33" i="42"/>
  <c r="G41" i="38"/>
  <c r="F41" i="38" s="1"/>
  <c r="L22" i="26"/>
  <c r="L42" i="26"/>
  <c r="V35" i="32"/>
  <c r="V27" i="32"/>
  <c r="V22" i="32"/>
  <c r="V30" i="32"/>
  <c r="V21" i="32"/>
  <c r="V34" i="32"/>
  <c r="V26" i="32"/>
  <c r="V29" i="32"/>
  <c r="V36" i="32"/>
  <c r="V33" i="32"/>
  <c r="V38" i="32"/>
  <c r="V37" i="32"/>
  <c r="V24" i="32"/>
  <c r="V20" i="32"/>
  <c r="V41" i="32" s="1"/>
  <c r="V23" i="32"/>
  <c r="V32" i="32"/>
  <c r="V25" i="32"/>
  <c r="V28" i="32"/>
  <c r="V31" i="32"/>
  <c r="O22" i="26" l="1"/>
  <c r="M22" i="26"/>
  <c r="N22" i="26"/>
  <c r="P22" i="26"/>
  <c r="M42" i="26"/>
  <c r="P42" i="26"/>
  <c r="O42" i="26"/>
  <c r="N42" i="26"/>
  <c r="P39" i="43" l="1"/>
  <c r="N39" i="43" l="1"/>
  <c r="M39" i="43" l="1"/>
  <c r="T39" i="43"/>
  <c r="N12" i="29"/>
  <c r="D12" i="29"/>
  <c r="C12" i="29" s="1"/>
  <c r="N18" i="29"/>
  <c r="D18" i="29" s="1"/>
  <c r="C18" i="29" s="1"/>
  <c r="N20" i="29"/>
  <c r="D20" i="29"/>
  <c r="C20" i="29" s="1"/>
  <c r="N21" i="29"/>
  <c r="D21" i="29" s="1"/>
  <c r="C21" i="29" s="1"/>
  <c r="N10" i="29"/>
  <c r="D10" i="29" s="1"/>
  <c r="C10" i="29" s="1"/>
  <c r="N11" i="29"/>
  <c r="D11" i="29" s="1"/>
  <c r="C11" i="29" s="1"/>
  <c r="N9" i="29"/>
  <c r="D9" i="29" s="1"/>
  <c r="C9" i="29" s="1"/>
  <c r="N13" i="29"/>
  <c r="D13" i="29" s="1"/>
  <c r="C13" i="29" s="1"/>
  <c r="N25" i="29"/>
  <c r="D25" i="29" s="1"/>
  <c r="C25" i="29" s="1"/>
  <c r="F46" i="27"/>
  <c r="H46" i="27" s="1"/>
  <c r="R26" i="26" s="1"/>
  <c r="G47" i="27"/>
  <c r="Q73" i="26" s="1"/>
  <c r="G14" i="28" s="1"/>
  <c r="N19" i="29"/>
  <c r="D19" i="29" s="1"/>
  <c r="C19" i="29" s="1"/>
  <c r="N8" i="29"/>
  <c r="D8" i="29" s="1"/>
  <c r="C8" i="29" s="1"/>
  <c r="H47" i="27" l="1"/>
  <c r="R45" i="26" s="1"/>
  <c r="L40" i="28"/>
  <c r="L39" i="28"/>
  <c r="L26" i="38" s="1"/>
  <c r="J27" i="27"/>
  <c r="R34" i="26"/>
  <c r="R99" i="26" s="1"/>
  <c r="R15" i="26"/>
  <c r="R25" i="26"/>
  <c r="R36" i="26"/>
  <c r="R32" i="26"/>
  <c r="R9" i="26"/>
  <c r="R31" i="26"/>
  <c r="R14" i="26"/>
  <c r="R24" i="26"/>
  <c r="R38" i="26"/>
  <c r="R28" i="26"/>
  <c r="R10" i="26"/>
  <c r="R35" i="26"/>
  <c r="R30" i="26"/>
  <c r="R23" i="26"/>
  <c r="R11" i="26"/>
  <c r="R12" i="26"/>
  <c r="R27" i="26"/>
  <c r="R13" i="26"/>
  <c r="R17" i="26"/>
  <c r="R16" i="26"/>
  <c r="R8" i="26"/>
  <c r="R29" i="26"/>
  <c r="R37" i="26"/>
  <c r="R33" i="26"/>
  <c r="R73" i="26"/>
  <c r="H14" i="28" s="1"/>
  <c r="R79" i="26"/>
  <c r="R77" i="26"/>
  <c r="R78" i="26"/>
  <c r="R46" i="26"/>
  <c r="R39" i="26"/>
  <c r="R22" i="26"/>
  <c r="R61" i="26"/>
  <c r="R62" i="26"/>
  <c r="R20" i="26"/>
  <c r="R82" i="26"/>
  <c r="R83" i="26"/>
  <c r="H15" i="28" s="1"/>
  <c r="R40" i="26"/>
  <c r="R19" i="26"/>
  <c r="R42" i="26"/>
  <c r="R41" i="26"/>
  <c r="R74" i="26"/>
  <c r="R76" i="26"/>
  <c r="R80" i="26"/>
  <c r="R44" i="26"/>
  <c r="R21" i="26"/>
  <c r="R75" i="26"/>
  <c r="R18" i="26"/>
  <c r="R85" i="26"/>
  <c r="R84" i="26"/>
  <c r="R43" i="26"/>
  <c r="R81" i="26"/>
  <c r="L27" i="38"/>
  <c r="N40" i="28"/>
  <c r="N27" i="38" s="1"/>
  <c r="N41" i="38" s="1"/>
  <c r="O40" i="28"/>
  <c r="O27" i="38" s="1"/>
  <c r="P40" i="28"/>
  <c r="P27" i="38" s="1"/>
  <c r="M40" i="28"/>
  <c r="Q83" i="26"/>
  <c r="G15" i="28" s="1"/>
  <c r="Q84" i="26"/>
  <c r="Q85" i="26"/>
  <c r="Q39" i="26"/>
  <c r="Q19" i="26"/>
  <c r="Q44" i="26"/>
  <c r="Q61" i="26"/>
  <c r="Q62" i="26"/>
  <c r="Q74" i="26"/>
  <c r="Q78" i="26"/>
  <c r="Q76" i="26"/>
  <c r="Q43" i="26"/>
  <c r="Q21" i="26"/>
  <c r="Q42" i="26"/>
  <c r="Q33" i="26"/>
  <c r="Q81" i="26"/>
  <c r="Q82" i="26"/>
  <c r="Q41" i="26"/>
  <c r="Q75" i="26"/>
  <c r="Q46" i="26"/>
  <c r="Q45" i="26"/>
  <c r="Q22" i="26"/>
  <c r="Q79" i="26"/>
  <c r="Q77" i="26"/>
  <c r="Q20" i="26"/>
  <c r="Q40" i="26"/>
  <c r="Q80" i="26"/>
  <c r="Q18" i="26"/>
  <c r="M39" i="28"/>
  <c r="P39" i="28"/>
  <c r="P26" i="38" s="1"/>
  <c r="G46" i="27"/>
  <c r="O39" i="28" l="1"/>
  <c r="O26" i="38" s="1"/>
  <c r="N39" i="28"/>
  <c r="N26" i="38" s="1"/>
  <c r="N40" i="38" s="1"/>
  <c r="P40" i="38"/>
  <c r="M26" i="38"/>
  <c r="O8" i="43"/>
  <c r="O41" i="38"/>
  <c r="R97" i="26"/>
  <c r="R96" i="26"/>
  <c r="H11" i="28"/>
  <c r="R91" i="26"/>
  <c r="R94" i="26"/>
  <c r="F49" i="27" s="1"/>
  <c r="H49" i="27" s="1"/>
  <c r="R93" i="26"/>
  <c r="F48" i="27" s="1"/>
  <c r="H48" i="27" s="1"/>
  <c r="R47" i="26" s="1"/>
  <c r="H8" i="28"/>
  <c r="P41" i="38"/>
  <c r="G11" i="28"/>
  <c r="Q97" i="26"/>
  <c r="Q96" i="26"/>
  <c r="Q14" i="26"/>
  <c r="Q24" i="26"/>
  <c r="Q25" i="26"/>
  <c r="Q36" i="26"/>
  <c r="Q23" i="26"/>
  <c r="Q26" i="26"/>
  <c r="Q37" i="26"/>
  <c r="Q27" i="26"/>
  <c r="Q38" i="26"/>
  <c r="Q28" i="26"/>
  <c r="Q16" i="26"/>
  <c r="Q12" i="26"/>
  <c r="Q30" i="26"/>
  <c r="Q29" i="26"/>
  <c r="Q10" i="26"/>
  <c r="Q17" i="26"/>
  <c r="Q11" i="26"/>
  <c r="Q34" i="26"/>
  <c r="Q99" i="26" s="1"/>
  <c r="Q31" i="26"/>
  <c r="Q9" i="26"/>
  <c r="Q32" i="26"/>
  <c r="Q15" i="26"/>
  <c r="Q8" i="26"/>
  <c r="Q35" i="26"/>
  <c r="Q13" i="26"/>
  <c r="M27" i="38"/>
  <c r="P8" i="43"/>
  <c r="K27" i="27"/>
  <c r="M27" i="27"/>
  <c r="N27" i="27"/>
  <c r="L27" i="27"/>
  <c r="O40" i="38" l="1"/>
  <c r="G33" i="27"/>
  <c r="K33" i="27" s="1"/>
  <c r="G34" i="27"/>
  <c r="K34" i="27" s="1"/>
  <c r="O24" i="43"/>
  <c r="O34" i="43"/>
  <c r="O23" i="43"/>
  <c r="O29" i="43"/>
  <c r="O20" i="43"/>
  <c r="O35" i="43"/>
  <c r="O22" i="43"/>
  <c r="O30" i="43"/>
  <c r="O26" i="43"/>
  <c r="O21" i="43"/>
  <c r="O27" i="43"/>
  <c r="O33" i="43"/>
  <c r="O28" i="43"/>
  <c r="O36" i="43"/>
  <c r="O32" i="43"/>
  <c r="O25" i="43"/>
  <c r="O31" i="43"/>
  <c r="O37" i="43"/>
  <c r="O19" i="43"/>
  <c r="H34" i="27"/>
  <c r="L34" i="27" s="1"/>
  <c r="H33" i="27"/>
  <c r="L33" i="27" s="1"/>
  <c r="P29" i="43"/>
  <c r="P35" i="43"/>
  <c r="P33" i="43"/>
  <c r="P20" i="43"/>
  <c r="P26" i="43"/>
  <c r="P19" i="43"/>
  <c r="P40" i="43" s="1"/>
  <c r="P21" i="43"/>
  <c r="P27" i="43"/>
  <c r="P25" i="43"/>
  <c r="P31" i="43"/>
  <c r="P32" i="43"/>
  <c r="P30" i="43"/>
  <c r="P36" i="43"/>
  <c r="P23" i="43"/>
  <c r="P22" i="43"/>
  <c r="P28" i="43"/>
  <c r="P37" i="43"/>
  <c r="P34" i="43"/>
  <c r="P24" i="43"/>
  <c r="Q94" i="26"/>
  <c r="E49" i="27" s="1"/>
  <c r="G49" i="27" s="1"/>
  <c r="G8" i="28"/>
  <c r="Q93" i="26"/>
  <c r="E48" i="27" s="1"/>
  <c r="G48" i="27" s="1"/>
  <c r="Q47" i="26" s="1"/>
  <c r="Q91" i="26"/>
  <c r="H16" i="28"/>
  <c r="B17" i="31" s="1"/>
  <c r="C17" i="31"/>
  <c r="M40" i="38"/>
  <c r="L40" i="38" s="1"/>
  <c r="J34" i="27"/>
  <c r="N34" i="27" s="1"/>
  <c r="J33" i="27"/>
  <c r="N33" i="27" s="1"/>
  <c r="M41" i="38"/>
  <c r="L41" i="38" s="1"/>
  <c r="I34" i="27"/>
  <c r="M34" i="27" s="1"/>
  <c r="I33" i="27"/>
  <c r="M33" i="27" s="1"/>
  <c r="R52" i="26"/>
  <c r="R50" i="26"/>
  <c r="R95" i="26" s="1"/>
  <c r="F50" i="27" s="1"/>
  <c r="H50" i="27" s="1"/>
  <c r="R51" i="26"/>
  <c r="R53" i="26"/>
  <c r="C15" i="31" l="1"/>
  <c r="G15" i="31" s="1"/>
  <c r="M24" i="28"/>
  <c r="G16" i="28"/>
  <c r="B15" i="31" s="1"/>
  <c r="M26" i="28"/>
  <c r="Q51" i="26"/>
  <c r="Q50" i="26"/>
  <c r="Q95" i="26" s="1"/>
  <c r="E50" i="27" s="1"/>
  <c r="G50" i="27" s="1"/>
  <c r="Q52" i="26"/>
  <c r="Q53" i="26"/>
  <c r="N66" i="26"/>
  <c r="N65" i="26"/>
  <c r="N67" i="26"/>
  <c r="N63" i="26"/>
  <c r="N64" i="26"/>
  <c r="O65" i="26"/>
  <c r="O64" i="26"/>
  <c r="O67" i="26"/>
  <c r="O66" i="26"/>
  <c r="O63" i="26"/>
  <c r="O71" i="26"/>
  <c r="O72" i="26"/>
  <c r="O70" i="26"/>
  <c r="O69" i="26"/>
  <c r="P67" i="26"/>
  <c r="P64" i="26"/>
  <c r="P65" i="26"/>
  <c r="P66" i="26"/>
  <c r="P63" i="26"/>
  <c r="N71" i="26"/>
  <c r="N70" i="26"/>
  <c r="N72" i="26"/>
  <c r="N69" i="26"/>
  <c r="M71" i="26"/>
  <c r="M72" i="26"/>
  <c r="M70" i="26"/>
  <c r="M69" i="26"/>
  <c r="R49" i="26"/>
  <c r="R48" i="26"/>
  <c r="P71" i="26"/>
  <c r="P72" i="26"/>
  <c r="P70" i="26"/>
  <c r="P69" i="26"/>
  <c r="H17" i="31"/>
  <c r="I17" i="31" s="1"/>
  <c r="G17" i="31"/>
  <c r="M67" i="26"/>
  <c r="M66" i="26"/>
  <c r="M65" i="26"/>
  <c r="M64" i="26"/>
  <c r="M63" i="26"/>
  <c r="R70" i="26" l="1"/>
  <c r="Q70" i="26"/>
  <c r="K9" i="43"/>
  <c r="L9" i="43" s="1"/>
  <c r="N26" i="28"/>
  <c r="N13" i="38" s="1"/>
  <c r="K8" i="43"/>
  <c r="L8" i="43" s="1"/>
  <c r="M13" i="38"/>
  <c r="Q72" i="26"/>
  <c r="R72" i="26"/>
  <c r="M98" i="26"/>
  <c r="C12" i="28"/>
  <c r="C37" i="28" s="1"/>
  <c r="N98" i="26"/>
  <c r="D12" i="28"/>
  <c r="F37" i="28" s="1"/>
  <c r="P96" i="26"/>
  <c r="F11" i="28"/>
  <c r="P97" i="26"/>
  <c r="J30" i="27" s="1"/>
  <c r="N30" i="27" s="1"/>
  <c r="P68" i="26" s="1"/>
  <c r="Q63" i="26"/>
  <c r="R63" i="26"/>
  <c r="R67" i="26"/>
  <c r="Q67" i="26"/>
  <c r="M96" i="26"/>
  <c r="M97" i="26"/>
  <c r="G30" i="27" s="1"/>
  <c r="K30" i="27" s="1"/>
  <c r="M68" i="26" s="1"/>
  <c r="C11" i="28"/>
  <c r="C35" i="28" s="1"/>
  <c r="R64" i="26"/>
  <c r="Q64" i="26"/>
  <c r="Q71" i="26"/>
  <c r="R71" i="26"/>
  <c r="Q66" i="26"/>
  <c r="R66" i="26"/>
  <c r="E12" i="28"/>
  <c r="J37" i="28" s="1"/>
  <c r="O98" i="26"/>
  <c r="O96" i="26"/>
  <c r="O97" i="26"/>
  <c r="I30" i="27" s="1"/>
  <c r="M30" i="27" s="1"/>
  <c r="O68" i="26" s="1"/>
  <c r="E11" i="28"/>
  <c r="J35" i="28" s="1"/>
  <c r="Q48" i="26"/>
  <c r="Q49" i="26"/>
  <c r="N24" i="28"/>
  <c r="N11" i="38" s="1"/>
  <c r="K7" i="43"/>
  <c r="O25" i="28"/>
  <c r="M11" i="38"/>
  <c r="N97" i="26"/>
  <c r="H30" i="27" s="1"/>
  <c r="L30" i="27" s="1"/>
  <c r="N68" i="26" s="1"/>
  <c r="N96" i="26"/>
  <c r="D11" i="28"/>
  <c r="F35" i="28" s="1"/>
  <c r="P98" i="26"/>
  <c r="Q69" i="26"/>
  <c r="F12" i="28"/>
  <c r="L37" i="28" s="1"/>
  <c r="R69" i="26"/>
  <c r="R65" i="26"/>
  <c r="Q65" i="26"/>
  <c r="F24" i="38" l="1"/>
  <c r="T10" i="41"/>
  <c r="H37" i="28"/>
  <c r="H24" i="38" s="1"/>
  <c r="I37" i="28"/>
  <c r="I24" i="38" s="1"/>
  <c r="G37" i="28"/>
  <c r="G24" i="38" s="1"/>
  <c r="M33" i="38"/>
  <c r="R68" i="26"/>
  <c r="Q68" i="26"/>
  <c r="N33" i="38"/>
  <c r="N42" i="38" s="1"/>
  <c r="H12" i="28"/>
  <c r="R98" i="26"/>
  <c r="F22" i="38"/>
  <c r="G35" i="28"/>
  <c r="G22" i="38" s="1"/>
  <c r="S10" i="41"/>
  <c r="I35" i="28"/>
  <c r="I22" i="38" s="1"/>
  <c r="H35" i="28"/>
  <c r="H22" i="38" s="1"/>
  <c r="F36" i="28"/>
  <c r="P25" i="28"/>
  <c r="P12" i="38" s="1"/>
  <c r="O12" i="38"/>
  <c r="C22" i="38"/>
  <c r="E35" i="28"/>
  <c r="E22" i="38" s="1"/>
  <c r="S10" i="32"/>
  <c r="D35" i="28"/>
  <c r="D22" i="38" s="1"/>
  <c r="L22" i="38"/>
  <c r="P35" i="28"/>
  <c r="P22" i="38" s="1"/>
  <c r="N35" i="28"/>
  <c r="N22" i="38" s="1"/>
  <c r="O35" i="28"/>
  <c r="O22" i="38" s="1"/>
  <c r="M35" i="28"/>
  <c r="L36" i="28"/>
  <c r="T10" i="32"/>
  <c r="D37" i="28"/>
  <c r="D24" i="38" s="1"/>
  <c r="C24" i="38"/>
  <c r="E37" i="28"/>
  <c r="E24" i="38" s="1"/>
  <c r="Q98" i="26"/>
  <c r="G12" i="28"/>
  <c r="L24" i="38"/>
  <c r="N37" i="28"/>
  <c r="N24" i="38" s="1"/>
  <c r="M37" i="28"/>
  <c r="O37" i="28"/>
  <c r="O24" i="38" s="1"/>
  <c r="P37" i="28"/>
  <c r="P24" i="38" s="1"/>
  <c r="K37" i="43"/>
  <c r="K34" i="43"/>
  <c r="K23" i="43"/>
  <c r="K35" i="43"/>
  <c r="K25" i="43"/>
  <c r="K21" i="43"/>
  <c r="K36" i="43"/>
  <c r="K24" i="43"/>
  <c r="K20" i="43"/>
  <c r="K32" i="43"/>
  <c r="K28" i="43"/>
  <c r="K19" i="43"/>
  <c r="K40" i="43" s="1"/>
  <c r="K31" i="43"/>
  <c r="K27" i="43"/>
  <c r="K30" i="43"/>
  <c r="K33" i="43"/>
  <c r="K29" i="43"/>
  <c r="K26" i="43"/>
  <c r="L7" i="43"/>
  <c r="K22" i="43"/>
  <c r="J22" i="38"/>
  <c r="S10" i="42"/>
  <c r="K35" i="28"/>
  <c r="K22" i="38" s="1"/>
  <c r="J36" i="28"/>
  <c r="J24" i="38"/>
  <c r="K37" i="28"/>
  <c r="K24" i="38" s="1"/>
  <c r="T10" i="42"/>
  <c r="N38" i="38" l="1"/>
  <c r="D38" i="38"/>
  <c r="C38" i="38" s="1"/>
  <c r="B38" i="38" s="1"/>
  <c r="D37" i="38"/>
  <c r="C37" i="38" s="1"/>
  <c r="B37" i="38" s="1"/>
  <c r="P46" i="28"/>
  <c r="Q56" i="28" s="1"/>
  <c r="P26" i="28"/>
  <c r="P13" i="38" s="1"/>
  <c r="O13" i="38"/>
  <c r="H36" i="28"/>
  <c r="H23" i="38" s="1"/>
  <c r="H37" i="38" s="1"/>
  <c r="S11" i="41"/>
  <c r="F23" i="38"/>
  <c r="G37" i="38"/>
  <c r="F37" i="38" s="1"/>
  <c r="M42" i="38"/>
  <c r="L33" i="38"/>
  <c r="L42" i="38" s="1"/>
  <c r="I38" i="38"/>
  <c r="S11" i="42"/>
  <c r="S35" i="42" s="1"/>
  <c r="K36" i="28"/>
  <c r="K23" i="38" s="1"/>
  <c r="J23" i="38"/>
  <c r="P38" i="38"/>
  <c r="T26" i="32"/>
  <c r="T38" i="32"/>
  <c r="T30" i="32"/>
  <c r="T37" i="32"/>
  <c r="T21" i="32"/>
  <c r="T28" i="32"/>
  <c r="T23" i="32"/>
  <c r="T20" i="32"/>
  <c r="T41" i="32" s="1"/>
  <c r="T33" i="32"/>
  <c r="T35" i="32"/>
  <c r="T22" i="32"/>
  <c r="T24" i="32"/>
  <c r="T36" i="32"/>
  <c r="T29" i="32"/>
  <c r="T31" i="32"/>
  <c r="T32" i="32"/>
  <c r="T34" i="32"/>
  <c r="T25" i="32"/>
  <c r="T27" i="32"/>
  <c r="N37" i="38"/>
  <c r="S28" i="32"/>
  <c r="S31" i="32"/>
  <c r="S34" i="32"/>
  <c r="S24" i="32"/>
  <c r="S32" i="32"/>
  <c r="S36" i="32"/>
  <c r="S22" i="32"/>
  <c r="S38" i="32"/>
  <c r="S37" i="32"/>
  <c r="S35" i="32"/>
  <c r="S30" i="32"/>
  <c r="S29" i="32"/>
  <c r="S27" i="32"/>
  <c r="S25" i="32"/>
  <c r="S23" i="32"/>
  <c r="S21" i="32"/>
  <c r="S26" i="32"/>
  <c r="S20" i="32"/>
  <c r="S41" i="32" s="1"/>
  <c r="S33" i="32"/>
  <c r="H38" i="38"/>
  <c r="O38" i="38"/>
  <c r="E38" i="38"/>
  <c r="L23" i="38"/>
  <c r="O36" i="28"/>
  <c r="O23" i="38" s="1"/>
  <c r="O37" i="38" s="1"/>
  <c r="M36" i="28"/>
  <c r="P37" i="38"/>
  <c r="E37" i="38"/>
  <c r="Q58" i="28"/>
  <c r="Q41" i="28" s="1"/>
  <c r="I37" i="38"/>
  <c r="T21" i="41"/>
  <c r="T27" i="41"/>
  <c r="T33" i="41"/>
  <c r="T26" i="41"/>
  <c r="T29" i="41"/>
  <c r="T38" i="41"/>
  <c r="T34" i="41"/>
  <c r="T36" i="41"/>
  <c r="T28" i="41"/>
  <c r="T20" i="41"/>
  <c r="T42" i="41" s="1"/>
  <c r="T24" i="41"/>
  <c r="T30" i="41"/>
  <c r="T32" i="41"/>
  <c r="T22" i="41"/>
  <c r="T35" i="41"/>
  <c r="T25" i="41"/>
  <c r="T31" i="41"/>
  <c r="T37" i="41"/>
  <c r="T23" i="41"/>
  <c r="T27" i="42"/>
  <c r="T24" i="42"/>
  <c r="T35" i="42"/>
  <c r="T29" i="42"/>
  <c r="T23" i="42"/>
  <c r="T31" i="42"/>
  <c r="T22" i="42"/>
  <c r="T32" i="42"/>
  <c r="T28" i="42"/>
  <c r="T21" i="42"/>
  <c r="T33" i="42"/>
  <c r="T38" i="42"/>
  <c r="T37" i="42"/>
  <c r="T36" i="42"/>
  <c r="T30" i="42"/>
  <c r="T25" i="42"/>
  <c r="T26" i="42"/>
  <c r="T20" i="42"/>
  <c r="T40" i="42" s="1"/>
  <c r="T34" i="42"/>
  <c r="S20" i="43"/>
  <c r="S19" i="43"/>
  <c r="S30" i="43"/>
  <c r="S28" i="43"/>
  <c r="L30" i="43"/>
  <c r="L20" i="43"/>
  <c r="L28" i="43"/>
  <c r="L21" i="43"/>
  <c r="L27" i="43"/>
  <c r="L31" i="43"/>
  <c r="L29" i="43"/>
  <c r="L35" i="43"/>
  <c r="L37" i="43"/>
  <c r="S21" i="43"/>
  <c r="S26" i="43"/>
  <c r="S25" i="43"/>
  <c r="S35" i="43"/>
  <c r="L25" i="43"/>
  <c r="L33" i="43"/>
  <c r="L19" i="43"/>
  <c r="S32" i="43"/>
  <c r="S37" i="43"/>
  <c r="S31" i="43"/>
  <c r="S27" i="43"/>
  <c r="L34" i="43"/>
  <c r="L22" i="43"/>
  <c r="L26" i="43"/>
  <c r="T26" i="43" s="1"/>
  <c r="S29" i="43"/>
  <c r="S24" i="43"/>
  <c r="S23" i="43"/>
  <c r="S33" i="43"/>
  <c r="L36" i="43"/>
  <c r="L23" i="43"/>
  <c r="S36" i="43"/>
  <c r="L24" i="43"/>
  <c r="L32" i="43"/>
  <c r="S22" i="43"/>
  <c r="S34" i="43"/>
  <c r="K38" i="38"/>
  <c r="J38" i="38" s="1"/>
  <c r="N8" i="43"/>
  <c r="M24" i="38"/>
  <c r="M22" i="38"/>
  <c r="M8" i="43"/>
  <c r="P33" i="38"/>
  <c r="P42" i="38" s="1"/>
  <c r="S32" i="41"/>
  <c r="S33" i="41"/>
  <c r="S34" i="41"/>
  <c r="S22" i="41"/>
  <c r="S38" i="41"/>
  <c r="S36" i="41"/>
  <c r="S26" i="41"/>
  <c r="S27" i="41"/>
  <c r="S28" i="41"/>
  <c r="S29" i="41"/>
  <c r="S37" i="41"/>
  <c r="S31" i="41"/>
  <c r="S25" i="41"/>
  <c r="S23" i="41"/>
  <c r="S21" i="41"/>
  <c r="S24" i="41"/>
  <c r="S20" i="41"/>
  <c r="S42" i="41" s="1"/>
  <c r="S30" i="41"/>
  <c r="S35" i="41"/>
  <c r="G38" i="38"/>
  <c r="F38" i="38" s="1"/>
  <c r="T23" i="43" l="1"/>
  <c r="T34" i="43"/>
  <c r="T37" i="43"/>
  <c r="S37" i="42"/>
  <c r="T32" i="43"/>
  <c r="T36" i="43"/>
  <c r="T35" i="43"/>
  <c r="T21" i="43"/>
  <c r="S24" i="42"/>
  <c r="S28" i="42"/>
  <c r="T24" i="43"/>
  <c r="S20" i="42"/>
  <c r="S40" i="42" s="1"/>
  <c r="S21" i="42"/>
  <c r="T19" i="43"/>
  <c r="T40" i="43" s="1"/>
  <c r="L40" i="43"/>
  <c r="T33" i="43"/>
  <c r="T29" i="43"/>
  <c r="T28" i="43"/>
  <c r="S26" i="42"/>
  <c r="S34" i="42"/>
  <c r="S27" i="42"/>
  <c r="S31" i="42"/>
  <c r="M38" i="38"/>
  <c r="L38" i="38" s="1"/>
  <c r="N34" i="43"/>
  <c r="N31" i="43"/>
  <c r="N20" i="43"/>
  <c r="N32" i="43"/>
  <c r="N22" i="43"/>
  <c r="N37" i="43"/>
  <c r="N30" i="43"/>
  <c r="N27" i="43"/>
  <c r="N19" i="43"/>
  <c r="N40" i="43" s="1"/>
  <c r="N21" i="43"/>
  <c r="N26" i="43"/>
  <c r="N25" i="43"/>
  <c r="N24" i="43"/>
  <c r="N29" i="43"/>
  <c r="N35" i="43"/>
  <c r="N36" i="43"/>
  <c r="N28" i="43"/>
  <c r="N33" i="43"/>
  <c r="N23" i="43"/>
  <c r="T22" i="43"/>
  <c r="T25" i="43"/>
  <c r="T31" i="43"/>
  <c r="T20" i="43"/>
  <c r="M9" i="43"/>
  <c r="M23" i="43" s="1"/>
  <c r="M23" i="38"/>
  <c r="S32" i="42"/>
  <c r="S30" i="42"/>
  <c r="S22" i="42"/>
  <c r="S36" i="42"/>
  <c r="S38" i="42"/>
  <c r="K37" i="38"/>
  <c r="J37" i="38" s="1"/>
  <c r="M37" i="38"/>
  <c r="L37" i="38" s="1"/>
  <c r="M22" i="43"/>
  <c r="M33" i="43"/>
  <c r="M30" i="43"/>
  <c r="T27" i="43"/>
  <c r="T30" i="43"/>
  <c r="O42" i="38"/>
  <c r="S29" i="42"/>
  <c r="S23" i="42"/>
  <c r="S33" i="42"/>
  <c r="S25" i="42"/>
  <c r="M28" i="43" l="1"/>
  <c r="M36" i="43"/>
  <c r="M24" i="43"/>
  <c r="D15" i="31"/>
  <c r="E15" i="31" s="1"/>
  <c r="H15" i="31" s="1"/>
  <c r="I15" i="31" s="1"/>
  <c r="M27" i="43"/>
  <c r="M19" i="43"/>
  <c r="M40" i="43" s="1"/>
  <c r="M35" i="43"/>
  <c r="M20" i="43"/>
  <c r="M31" i="43"/>
  <c r="M32" i="43"/>
  <c r="M25" i="43"/>
  <c r="M29" i="43"/>
  <c r="M34" i="43"/>
  <c r="M37" i="43"/>
  <c r="M26" i="43"/>
  <c r="M21" i="43"/>
  <c r="Q33" i="38"/>
  <c r="Q42" i="38" s="1"/>
  <c r="L34" i="38" l="1"/>
</calcChain>
</file>

<file path=xl/sharedStrings.xml><?xml version="1.0" encoding="utf-8"?>
<sst xmlns="http://schemas.openxmlformats.org/spreadsheetml/2006/main" count="2329" uniqueCount="587">
  <si>
    <t>DISTRIBUTIENETBEHEERDER :</t>
  </si>
  <si>
    <t>ONDERNEMINGSNUMMER:</t>
  </si>
  <si>
    <t>In het kader van volgende reguleringsperiode:</t>
  </si>
  <si>
    <t>van</t>
  </si>
  <si>
    <t>tot en met</t>
  </si>
  <si>
    <t>Berekende of overgenomen waarde waarvoor dus geen manuele input vereist is</t>
  </si>
  <si>
    <t>Distributienetbeheerder:</t>
  </si>
  <si>
    <t>AMR</t>
  </si>
  <si>
    <t>MMR</t>
  </si>
  <si>
    <t>Toeslagen</t>
  </si>
  <si>
    <t>Exogeen</t>
  </si>
  <si>
    <t>Totaal</t>
  </si>
  <si>
    <t>kW</t>
  </si>
  <si>
    <t>Reactieve energie</t>
  </si>
  <si>
    <t>kWh</t>
  </si>
  <si>
    <t>Netverliezen</t>
  </si>
  <si>
    <t>EUR</t>
  </si>
  <si>
    <t>Eenheid</t>
  </si>
  <si>
    <t>ODV</t>
  </si>
  <si>
    <t>Cel die geen toepassing vindt onder de huidige tariefstructuur</t>
  </si>
  <si>
    <t>%</t>
  </si>
  <si>
    <t>Tarief voor het beheer van het elektrisch systeem</t>
  </si>
  <si>
    <t>Naam distributienetbeheerder</t>
  </si>
  <si>
    <t>Endogeen</t>
  </si>
  <si>
    <t>Totaal budget</t>
  </si>
  <si>
    <t>Metertype</t>
  </si>
  <si>
    <t>€</t>
  </si>
  <si>
    <t>Afschrijvingen</t>
  </si>
  <si>
    <t>Afschrijvingen TRHS-net</t>
  </si>
  <si>
    <t>Afschrijvingen TRHS-aansluitingen en -meters</t>
  </si>
  <si>
    <t>Afschrijvingen MS-net</t>
  </si>
  <si>
    <t>Afschrijvingen TRLS-net</t>
  </si>
  <si>
    <t>Afschrijvingen LS-net</t>
  </si>
  <si>
    <t>Afschrijvingen OV-net</t>
  </si>
  <si>
    <t>Afschrijvingen rollend materieel, meubilair en andere uitrusting</t>
  </si>
  <si>
    <t>Afschrijvingen systeembeheer (telebeheer en dispatching)</t>
  </si>
  <si>
    <t>Waardeverminderingen op voorraden, bestellingen in uitvoering en handelsvorderingen</t>
  </si>
  <si>
    <t>Exploitatie TRHS-net</t>
  </si>
  <si>
    <t>Exploitatie TRHS-aansluitingen en -meters</t>
  </si>
  <si>
    <t>Exploitatie MS-net</t>
  </si>
  <si>
    <t>Exploitatie MS-aansluitingen en -meters</t>
  </si>
  <si>
    <t>Exploitatie TRLS-net</t>
  </si>
  <si>
    <t>Exploitatie TRLS-aansluitingen en -meters</t>
  </si>
  <si>
    <t>Exploitatie LS-net</t>
  </si>
  <si>
    <t>Exploitatie LS-aansluitingen en -meters</t>
  </si>
  <si>
    <t>Exploitatie systeembeheer</t>
  </si>
  <si>
    <t>Exploitatie OV-net</t>
  </si>
  <si>
    <t>Marge</t>
  </si>
  <si>
    <t>Exploitatie andere</t>
  </si>
  <si>
    <t>Kapitaalkostenvergoedingen</t>
  </si>
  <si>
    <t>Exploitatie databeheer</t>
  </si>
  <si>
    <t>Exploitatie netverliezen</t>
  </si>
  <si>
    <t>Transmissie</t>
  </si>
  <si>
    <t>Tarief voor het beheer en de ontwikkeling van de netwerkinfrastructuur - maandpiek voor afname</t>
  </si>
  <si>
    <t>Tarief voor het beheer en de ontwikkeling van de netwerkinfrastructuur - jaarpiek voor afname</t>
  </si>
  <si>
    <t>Tarief voor het beheer en de ontwikkeling van de netwerkinfrastructuur - ter beschikking gesteld vermogen voor afname</t>
  </si>
  <si>
    <t>Tarief voor de aanvullende afname of injectie van reactieve energie</t>
  </si>
  <si>
    <t>Tarief voor de vermogensreserves en de blackstart</t>
  </si>
  <si>
    <t>Tarief voor de marktintegratie</t>
  </si>
  <si>
    <t>Aansluitingstarieven</t>
  </si>
  <si>
    <t>Tarief voor openbare dienstverplichtingen voor de financiering van de aansluiting van offshore windturbineparken</t>
  </si>
  <si>
    <t>Tarief voor openbare dienstverplichtingen voor de financiering van groenestroomcertificaten</t>
  </si>
  <si>
    <t>Tarief voor openbare dienstverplichtingen voor de financiering van de strategische reserve</t>
  </si>
  <si>
    <t>Tarief voor openbare dienstverplichtingen voor de financiering van de steunmaatregelen voor hernieuwebare energie en warmtekrachtkoppeling in Vlaanderen</t>
  </si>
  <si>
    <t>Tarief voor openbare dienstverplichtingen voor de financiering van de maatregelen ter bevordering van rationeel energieverbruik in Vlaanderen</t>
  </si>
  <si>
    <t>Kapitaalkostenvergoeding voor regulatoire saldi</t>
  </si>
  <si>
    <t>Kapitaalkostenvergoeding voor RAB en NBK</t>
  </si>
  <si>
    <t>Afbouw van regulatoire saldi</t>
  </si>
  <si>
    <t>Afbouw van regulatoire saldi binnen de tariefcomponent 'Netgebruik'</t>
  </si>
  <si>
    <t>Afbouw van regulatoire saldi binnen de tariefcomponent 'Openbare dienstverplichtingen'</t>
  </si>
  <si>
    <t>Afbouw van regulatoire saldi binnen de tariefcomponent 'Toeslagen'</t>
  </si>
  <si>
    <t>Afbouw van regulatoire saldi binnen de tariefcomponent 'Overige transmissie'</t>
  </si>
  <si>
    <t>Netto-operationele kosten</t>
  </si>
  <si>
    <t>Kosten inzake beschermde, gedropte klanten</t>
  </si>
  <si>
    <t>Kosten inzake niet-beschermde, gedropte klanten</t>
  </si>
  <si>
    <t>Kosten inzake openbare verlichting</t>
  </si>
  <si>
    <t>Kosten inzake warmtekrachtkoppeling</t>
  </si>
  <si>
    <t>Kosten inzake steuncertificaten</t>
  </si>
  <si>
    <t>Exploitatie reactieve energie</t>
  </si>
  <si>
    <t>Niet-gekapitaliseerde pensioenen</t>
  </si>
  <si>
    <t>Gemeentelijke retributies</t>
  </si>
  <si>
    <t>GRB-heffingen</t>
  </si>
  <si>
    <t>Tariefcomponent</t>
  </si>
  <si>
    <t>Netgebruik</t>
  </si>
  <si>
    <t>Databeheer</t>
  </si>
  <si>
    <t>Openbare dienstverplichtingen</t>
  </si>
  <si>
    <t>Overige transmissie</t>
  </si>
  <si>
    <t>Subactiviteit</t>
  </si>
  <si>
    <t>Distributie</t>
  </si>
  <si>
    <t>Direct</t>
  </si>
  <si>
    <t>Indirect</t>
  </si>
  <si>
    <t>Capaciteitsgerelateerd</t>
  </si>
  <si>
    <t>Niet-capaciteitsgerelateerd</t>
  </si>
  <si>
    <t>Kostenindeling 1</t>
  </si>
  <si>
    <t>Kostenindeling 2</t>
  </si>
  <si>
    <t>Kostenindeling 3</t>
  </si>
  <si>
    <t>Kostenindeling 4</t>
  </si>
  <si>
    <t>Niet-recurrente opbrengsten</t>
  </si>
  <si>
    <t>Niet-recurrente kosten</t>
  </si>
  <si>
    <t>Kostenrubriek</t>
  </si>
  <si>
    <t>Verdeelsleutel</t>
  </si>
  <si>
    <t>Totale budget</t>
  </si>
  <si>
    <t>Afnameklanten op TRHS</t>
  </si>
  <si>
    <t>Afnameklanten op TRLS</t>
  </si>
  <si>
    <t>Injectieklanten op TRLS</t>
  </si>
  <si>
    <t>Injectieklanten op LS</t>
  </si>
  <si>
    <t>Relatief aandeel</t>
  </si>
  <si>
    <t>Klantengroep</t>
  </si>
  <si>
    <t>x</t>
  </si>
  <si>
    <t>Tariefdrager</t>
  </si>
  <si>
    <r>
      <t>kVA</t>
    </r>
    <r>
      <rPr>
        <vertAlign val="subscript"/>
        <sz val="11"/>
        <color indexed="8"/>
        <rFont val="Calibri"/>
        <family val="2"/>
      </rPr>
      <t>TV</t>
    </r>
  </si>
  <si>
    <r>
      <t>kW</t>
    </r>
    <r>
      <rPr>
        <vertAlign val="subscript"/>
        <sz val="11"/>
        <color indexed="8"/>
        <rFont val="Calibri"/>
        <family val="2"/>
      </rPr>
      <t>MP</t>
    </r>
  </si>
  <si>
    <r>
      <t>kW</t>
    </r>
    <r>
      <rPr>
        <vertAlign val="subscript"/>
        <sz val="11"/>
        <color indexed="8"/>
        <rFont val="Calibri"/>
        <family val="2"/>
      </rPr>
      <t>MP-TV</t>
    </r>
  </si>
  <si>
    <r>
      <t>kW</t>
    </r>
    <r>
      <rPr>
        <vertAlign val="subscript"/>
        <sz val="11"/>
        <color indexed="8"/>
        <rFont val="Calibri"/>
        <family val="2"/>
      </rPr>
      <t>gemMP</t>
    </r>
  </si>
  <si>
    <r>
      <t>vast</t>
    </r>
    <r>
      <rPr>
        <vertAlign val="subscript"/>
        <sz val="11"/>
        <color indexed="8"/>
        <rFont val="Calibri"/>
        <family val="2"/>
      </rPr>
      <t>net</t>
    </r>
  </si>
  <si>
    <r>
      <t>kWh</t>
    </r>
    <r>
      <rPr>
        <vertAlign val="subscript"/>
        <sz val="11"/>
        <color indexed="8"/>
        <rFont val="Calibri"/>
        <family val="2"/>
      </rPr>
      <t>afn</t>
    </r>
  </si>
  <si>
    <r>
      <t>kWh</t>
    </r>
    <r>
      <rPr>
        <vertAlign val="subscript"/>
        <sz val="11"/>
        <color indexed="8"/>
        <rFont val="Calibri"/>
        <family val="2"/>
      </rPr>
      <t>inj</t>
    </r>
  </si>
  <si>
    <r>
      <t>kVArh</t>
    </r>
    <r>
      <rPr>
        <vertAlign val="subscript"/>
        <sz val="11"/>
        <color indexed="8"/>
        <rFont val="Calibri"/>
        <family val="2"/>
      </rPr>
      <t>cap</t>
    </r>
  </si>
  <si>
    <r>
      <t>kVArh</t>
    </r>
    <r>
      <rPr>
        <vertAlign val="subscript"/>
        <sz val="11"/>
        <color indexed="8"/>
        <rFont val="Calibri"/>
        <family val="2"/>
      </rPr>
      <t>ind</t>
    </r>
  </si>
  <si>
    <t>Afnameklanten op LS met piekmeting</t>
  </si>
  <si>
    <t>Afnameklanten op LS met klassieke meter</t>
  </si>
  <si>
    <t>Prosumenten met terugdraaiende teller op LS</t>
  </si>
  <si>
    <t xml:space="preserve"> </t>
  </si>
  <si>
    <t>Totaal rekenvolume</t>
  </si>
  <si>
    <t>EAN</t>
  </si>
  <si>
    <t>Rekenvolume</t>
  </si>
  <si>
    <t>Productiemeters</t>
  </si>
  <si>
    <t>DM - MR1</t>
  </si>
  <si>
    <t>DM - MR3</t>
  </si>
  <si>
    <t>KM</t>
  </si>
  <si>
    <t>Maximum</t>
  </si>
  <si>
    <t>Niet-geïnd</t>
  </si>
  <si>
    <t>Afnameklanten op &gt;26-36 kV met AV ≥ 5MVA</t>
  </si>
  <si>
    <t>Afnameklanten op &gt;26-36 kV met AV &lt; 5MVA</t>
  </si>
  <si>
    <t>Budget Netgebruik</t>
  </si>
  <si>
    <t>Budget netgebruik</t>
  </si>
  <si>
    <t>Tariefverhoging</t>
  </si>
  <si>
    <t>Vóór toepassing van het maximumtarief</t>
  </si>
  <si>
    <t>Na toepassing van het maximumtarief</t>
  </si>
  <si>
    <t>Niet-geïnd budget (€)</t>
  </si>
  <si>
    <t>Na tariefverhoging</t>
  </si>
  <si>
    <t>Tariefverhoging (%)</t>
  </si>
  <si>
    <t>Na toepassing
van het maximumtarief</t>
  </si>
  <si>
    <t>∆ Budget Netgebruik</t>
  </si>
  <si>
    <t>DOELZOEKEN</t>
  </si>
  <si>
    <t>Max Injectie</t>
  </si>
  <si>
    <t>EAN-code</t>
  </si>
  <si>
    <t>Netgebruik (OST)</t>
  </si>
  <si>
    <r>
      <t>kVA</t>
    </r>
    <r>
      <rPr>
        <vertAlign val="subscript"/>
        <sz val="11"/>
        <color indexed="8"/>
        <rFont val="Calibri"/>
        <family val="2"/>
      </rPr>
      <t>TV</t>
    </r>
  </si>
  <si>
    <r>
      <t>kW</t>
    </r>
    <r>
      <rPr>
        <vertAlign val="subscript"/>
        <sz val="11"/>
        <color indexed="8"/>
        <rFont val="Calibri"/>
        <family val="2"/>
      </rPr>
      <t>MP</t>
    </r>
  </si>
  <si>
    <r>
      <t>kW</t>
    </r>
    <r>
      <rPr>
        <vertAlign val="subscript"/>
        <sz val="11"/>
        <color indexed="8"/>
        <rFont val="Calibri"/>
        <family val="2"/>
      </rPr>
      <t>MP-TV</t>
    </r>
  </si>
  <si>
    <r>
      <t>kWh</t>
    </r>
    <r>
      <rPr>
        <vertAlign val="subscript"/>
        <sz val="11"/>
        <color indexed="8"/>
        <rFont val="Calibri"/>
        <family val="2"/>
      </rPr>
      <t>afn</t>
    </r>
  </si>
  <si>
    <t>Tarieven</t>
  </si>
  <si>
    <r>
      <t>kVA</t>
    </r>
    <r>
      <rPr>
        <vertAlign val="subscript"/>
        <sz val="11"/>
        <color indexed="8"/>
        <rFont val="Calibri"/>
        <family val="2"/>
      </rPr>
      <t>omvormer</t>
    </r>
  </si>
  <si>
    <t>Kosten inzake REG-acties</t>
  </si>
  <si>
    <t>Afschrijvingen immateriële activa</t>
  </si>
  <si>
    <t>Afschrijvingen administratieve gebouwen</t>
  </si>
  <si>
    <r>
      <t>kW</t>
    </r>
    <r>
      <rPr>
        <vertAlign val="subscript"/>
        <sz val="11"/>
        <color indexed="8"/>
        <rFont val="Calibri"/>
        <family val="2"/>
      </rPr>
      <t>omv</t>
    </r>
  </si>
  <si>
    <t>kWh_zonder TRHS</t>
  </si>
  <si>
    <t>TARIEFVOORSTEL PERIODIEKE DISTRIBUTIENETTARIEVEN</t>
  </si>
  <si>
    <t>RICHTLIJNEN BIJ HET INVULLEN EN DE INTERPRETATIE VAN HET RAPPORTERINGSMODEL</t>
  </si>
  <si>
    <t>LEGENDE CELKLEUREN</t>
  </si>
  <si>
    <t>OVERZICHT TABELLEN</t>
  </si>
  <si>
    <t>Assumpties</t>
  </si>
  <si>
    <t>TABEL 1: Budget per tariefcomponent voor gereguleerde activiteit 'elektriciteit'</t>
  </si>
  <si>
    <t>Tariefcomponten</t>
  </si>
  <si>
    <t>Budget voor exogene kosten</t>
  </si>
  <si>
    <t>Budget voor endogene kosten</t>
  </si>
  <si>
    <t>Exploitatie algemene diensten</t>
  </si>
  <si>
    <t>TABEL 2: Budget per energierichting, spanningsniveau en klantengroep voor gereguleerde activiteit 'elektriciteit'</t>
  </si>
  <si>
    <t>Verdeelsleutels</t>
  </si>
  <si>
    <t>Rekenvolumes</t>
  </si>
  <si>
    <t>VERDEELSLEUTELS</t>
  </si>
  <si>
    <t>Absolute waarde</t>
  </si>
  <si>
    <t>REKENVOLUMES</t>
  </si>
  <si>
    <t>Tarifaire bepalingen</t>
  </si>
  <si>
    <t>Deze bepaling geldt voor de afnameklanten op TRHS.</t>
  </si>
  <si>
    <t>Overeenkomstig paragraaf 11.5.3 punt 4 uit de tariefmethodologie 2021-2024.</t>
  </si>
  <si>
    <t>Overeenkomstig paragraaf 11.5.3 punt 6 uit de tariefmethodologie 2021-2024.</t>
  </si>
  <si>
    <t>Overeenkomstig paragraaf 11.5.3 punt 7 uit de tariefmethodologie 2021-2024.</t>
  </si>
  <si>
    <t>Deze bepaling geldt voor de afnameklanten op LS met piekmeting.</t>
  </si>
  <si>
    <t>Overeenkomstig paragraaf 11.5.3 punt 8 uit de tariefmethodologie 2021-2024.</t>
  </si>
  <si>
    <t>Deze bepaling geldt voor de afnameklanten op LS met klassieke meter.</t>
  </si>
  <si>
    <t>Overeenkomstig paragraaf 11.5.3 punt 13 uit de tariefmethodologie 2021-2024.</t>
  </si>
  <si>
    <t>Overeenkomstig paragraaf 11.5.3 punt 14 uit de tariefmethodologie 2021-2024.</t>
  </si>
  <si>
    <t>ASSUMPTIES</t>
  </si>
  <si>
    <t>Korting op ODV-tarief voor exclusief nacht :</t>
  </si>
  <si>
    <t>Met hierin:</t>
  </si>
  <si>
    <t>Het budget dat distributienetbeheerder i voor jaar j toewijst aan de tariefcomponent 'Netgebruik' en de klantengroep k;</t>
  </si>
  <si>
    <t>Deze tarifaire bepalingen kunnen ook in formulevorm weergegeven worden:</t>
  </si>
  <si>
    <t>Door de onderste twee gelijkheden te integreren in de bovenste gelijkheid, bekomen we:</t>
  </si>
  <si>
    <t>En als we vervolgens het (bij aanvang ongekende) tarief afzonderen:</t>
  </si>
  <si>
    <t>Bijkomende toelichting</t>
  </si>
  <si>
    <r>
      <t>2 x kVA</t>
    </r>
    <r>
      <rPr>
        <vertAlign val="subscript"/>
        <sz val="11"/>
        <color indexed="23"/>
        <rFont val="Calibri"/>
        <family val="2"/>
      </rPr>
      <t>TV</t>
    </r>
    <r>
      <rPr>
        <sz val="11"/>
        <color indexed="23"/>
        <rFont val="Calibri"/>
        <family val="2"/>
      </rPr>
      <t xml:space="preserve"> + 1,5 kW</t>
    </r>
    <r>
      <rPr>
        <vertAlign val="subscript"/>
        <sz val="11"/>
        <color indexed="23"/>
        <rFont val="Calibri"/>
        <family val="2"/>
      </rPr>
      <t>MP-TV</t>
    </r>
    <r>
      <rPr>
        <sz val="11"/>
        <color indexed="23"/>
        <rFont val="Calibri"/>
        <family val="2"/>
      </rPr>
      <t xml:space="preserve"> / 12</t>
    </r>
  </si>
  <si>
    <t>75% EAN + 25% kWh</t>
  </si>
  <si>
    <t>Hulplijnen</t>
  </si>
  <si>
    <t>Kosten 'Netgebruik' excl. afbouw van regulatoire saldi, kapitaalkostenvergoeding (voor gegarandeerde activa) en marge</t>
  </si>
  <si>
    <t>kVArh</t>
  </si>
  <si>
    <t xml:space="preserve">     kWh-tarieven</t>
  </si>
  <si>
    <t xml:space="preserve">Gem. omvormervermogen (in kW)     </t>
  </si>
  <si>
    <t xml:space="preserve">Gem. productievermogen (in kWp)     </t>
  </si>
  <si>
    <t xml:space="preserve">Gem. productie (in kWh)     </t>
  </si>
  <si>
    <t xml:space="preserve">Gem. injectie (in kWh)     </t>
  </si>
  <si>
    <t xml:space="preserve">Totaal bedrag (in euro)    </t>
  </si>
  <si>
    <t xml:space="preserve">Aanvullend capaciteitstarief (in euro/kW)    </t>
  </si>
  <si>
    <t>Maximumtarieven</t>
  </si>
  <si>
    <t>Totaal injectieklanten</t>
  </si>
  <si>
    <t>Totaal afnameklanten</t>
  </si>
  <si>
    <t>Totaal afname- en injectieklanten</t>
  </si>
  <si>
    <t>Injectieklanten op TRHS</t>
  </si>
  <si>
    <t>Doelzoeken op:</t>
  </si>
  <si>
    <t xml:space="preserve"> = 100%</t>
  </si>
  <si>
    <t>Te wijzigen waarde:</t>
  </si>
  <si>
    <r>
      <t>kVA</t>
    </r>
    <r>
      <rPr>
        <vertAlign val="subscript"/>
        <sz val="11"/>
        <color indexed="8"/>
        <rFont val="Calibri"/>
        <family val="2"/>
      </rPr>
      <t>TV</t>
    </r>
  </si>
  <si>
    <t>Noodvoeding?</t>
  </si>
  <si>
    <t>Netgebruik (excl. OST)</t>
  </si>
  <si>
    <r>
      <t>kWh</t>
    </r>
    <r>
      <rPr>
        <vertAlign val="subscript"/>
        <sz val="11"/>
        <color indexed="8"/>
        <rFont val="Calibri"/>
        <family val="2"/>
      </rPr>
      <t>afn</t>
    </r>
    <r>
      <rPr>
        <vertAlign val="subscript"/>
        <sz val="11"/>
        <color indexed="8"/>
        <rFont val="Calibri"/>
        <family val="2"/>
      </rPr>
      <t xml:space="preserve"> XN</t>
    </r>
  </si>
  <si>
    <r>
      <t>kWh</t>
    </r>
    <r>
      <rPr>
        <vertAlign val="subscript"/>
        <sz val="11"/>
        <color indexed="8"/>
        <rFont val="Calibri"/>
        <family val="2"/>
      </rPr>
      <t>afn</t>
    </r>
    <r>
      <rPr>
        <vertAlign val="subscript"/>
        <sz val="11"/>
        <color indexed="8"/>
        <rFont val="Calibri"/>
        <family val="2"/>
      </rPr>
      <t xml:space="preserve"> NU SU</t>
    </r>
  </si>
  <si>
    <r>
      <t>kWh</t>
    </r>
    <r>
      <rPr>
        <vertAlign val="subscript"/>
        <sz val="11"/>
        <color indexed="8"/>
        <rFont val="Calibri"/>
        <family val="2"/>
      </rPr>
      <t>afn</t>
    </r>
    <r>
      <rPr>
        <vertAlign val="subscript"/>
        <sz val="11"/>
        <color theme="1"/>
        <rFont val="Calibri"/>
        <family val="2"/>
        <scheme val="minor"/>
      </rPr>
      <t xml:space="preserve"> XN</t>
    </r>
  </si>
  <si>
    <t>TABEL 3: Tarieven vóór toepassing van de maximumtarieven</t>
  </si>
  <si>
    <t>TABEL 3: Tarieven na toepassing van de maximumtarieven</t>
  </si>
  <si>
    <t>TABEL 3: Tarieven vóór de toepassing van de maximumtarieven</t>
  </si>
  <si>
    <t>TABEL 4: Tarieven na de toepassing van de maximumtarieven</t>
  </si>
  <si>
    <t>Overeenkomstig paragraaf 10.2.2.1.1 uit de tariefmethodologie 2021-2024.</t>
  </si>
  <si>
    <t>ELEKTRICITEIT</t>
  </si>
  <si>
    <t xml:space="preserve">Periodieke distributienettarieven voor het jaar: </t>
  </si>
  <si>
    <t>Aangezien het betreffende tarief telkens in de teller als in de noemer voorkomt, hebben we het in bovenstaande gelijkheden laten wegvallen. Op deze manier kan het aandeel van elke tariefdrager eenduidig bepaald worden, onafhankelijk van het betreffende tarief.</t>
  </si>
  <si>
    <t>Afschrijvingen TRLS-aansluitingen en -meters</t>
  </si>
  <si>
    <t>Afschrijvingen LS-aansluitingen en -meters</t>
  </si>
  <si>
    <t>Saldi</t>
  </si>
  <si>
    <t>Enkel_LS</t>
  </si>
  <si>
    <t>Afname (x)</t>
  </si>
  <si>
    <t>Injectie (x)</t>
  </si>
  <si>
    <t>Afname (#)</t>
  </si>
  <si>
    <t>Injectie (#)</t>
  </si>
  <si>
    <t>Afname (%)</t>
  </si>
  <si>
    <t>Injectie (%)</t>
  </si>
  <si>
    <t>Energierichting</t>
  </si>
  <si>
    <t>CAPEX</t>
  </si>
  <si>
    <t>Enkel_Afname</t>
  </si>
  <si>
    <t>TRHS (x)</t>
  </si>
  <si>
    <t>MS (x)</t>
  </si>
  <si>
    <t>TRLS (x)</t>
  </si>
  <si>
    <t>LS (x)</t>
  </si>
  <si>
    <t>TRHS (#)</t>
  </si>
  <si>
    <t>MS (#)</t>
  </si>
  <si>
    <t>TRLS (#)</t>
  </si>
  <si>
    <t>LS (#)</t>
  </si>
  <si>
    <t>TRHS (%)</t>
  </si>
  <si>
    <t>MS (%)</t>
  </si>
  <si>
    <t>TRLS (%)</t>
  </si>
  <si>
    <t>LS (%)</t>
  </si>
  <si>
    <t>Spanningsniveau</t>
  </si>
  <si>
    <t>Afschrijvingen databeheer</t>
  </si>
  <si>
    <t>Toeslag voor de taksen op masten en sleuven in Vlaanderen</t>
  </si>
  <si>
    <t>Afschrijvingen MS-aansluitingen en -meters</t>
  </si>
  <si>
    <t>Verdeelsleutel 
energierichtingen</t>
  </si>
  <si>
    <t>Verdeelsleutel 
spanningsniveaus 
voor afname</t>
  </si>
  <si>
    <t>75%EAN+25%kWh_ODV</t>
  </si>
  <si>
    <t>75%EAN+25%kWh_TOE</t>
  </si>
  <si>
    <t>Afschrijvingen &gt;26-36kV-net</t>
  </si>
  <si>
    <t>Afschrijvingen &gt;26-36kV-aansluitingen en -meters</t>
  </si>
  <si>
    <t>Exploitatie &gt;26-36kV-net</t>
  </si>
  <si>
    <t>Exploitatie &gt;26-36kV-aansluitingen en -meters</t>
  </si>
  <si>
    <t>Het deel van bovenvermeld budget dat distributienetbeheerder i voor jaar j aan klantengroep k aanrekent op basis van het toegangsvermogen. Dit deel is gelijk aan het betreffende tarief (op jaarbasis) vermenigvuldigd met het rekenvolume;</t>
  </si>
  <si>
    <t>Het deel van bovenvermeld budget dat distributienetbeheerder i voor jaar j aan klantengroep k aanrekent op basis van de maandpiek. Dit deel is gelijk aan het betreffende tarief (op maandbasis) vermenigvuldigd met het rekenvolume;</t>
  </si>
  <si>
    <t>Het deel van bovenvermeld budget dat distributienetbeheerder i voor jaar j aan klantengroep k aanrekent op basis van het verschil tussen de maandpiek en het toegangsvermogen. Dit deel is gelijk aan het betreffende tarief (op maandbasis) vermenigvuldigd met het rekenvolume.</t>
  </si>
  <si>
    <t>Injectieklanten op &gt;26-36kV</t>
  </si>
  <si>
    <t>Deze bepaling geldt voor de afnameklanten op TRHS, &gt;26-36kV, 26-1kV en TRLS.</t>
  </si>
  <si>
    <t>Afnameklanten op 26-1kV</t>
  </si>
  <si>
    <t>Doorvoer op 26-1kV</t>
  </si>
  <si>
    <t>Injectieklanten op 26-1kV</t>
  </si>
  <si>
    <r>
      <t>kWh</t>
    </r>
    <r>
      <rPr>
        <vertAlign val="subscript"/>
        <sz val="11"/>
        <color theme="1"/>
        <rFont val="Calibri"/>
        <family val="2"/>
      </rPr>
      <t>afn</t>
    </r>
  </si>
  <si>
    <t>DM-MR1</t>
  </si>
  <si>
    <t>DM-MR3</t>
  </si>
  <si>
    <t>Afnameklanten 
op TRHS (∑)</t>
  </si>
  <si>
    <t>Afnameklanten 
op MS (∑)</t>
  </si>
  <si>
    <t>Afnameklanten op TRLS (∑)</t>
  </si>
  <si>
    <t>Injectieklanten (∑)</t>
  </si>
  <si>
    <t>Afnameklanten (∑)</t>
  </si>
  <si>
    <t>In te vullen door de distributienetbeheerder</t>
  </si>
  <si>
    <t>In te vullen door de VREG</t>
  </si>
  <si>
    <r>
      <t>Procentueel aandeel van kVA</t>
    </r>
    <r>
      <rPr>
        <vertAlign val="subscript"/>
        <sz val="11"/>
        <color indexed="8"/>
        <rFont val="Calibri"/>
        <family val="2"/>
      </rPr>
      <t>TV</t>
    </r>
    <r>
      <rPr>
        <sz val="11"/>
        <color theme="1"/>
        <rFont val="Calibri"/>
        <family val="2"/>
        <scheme val="minor"/>
      </rPr>
      <t xml:space="preserve"> in budget 'Netgebruik' (excl. kW</t>
    </r>
    <r>
      <rPr>
        <vertAlign val="subscript"/>
        <sz val="11"/>
        <color theme="1"/>
        <rFont val="Calibri"/>
        <family val="2"/>
        <scheme val="minor"/>
      </rPr>
      <t>MP-TV</t>
    </r>
    <r>
      <rPr>
        <sz val="11"/>
        <color theme="1"/>
        <rFont val="Calibri"/>
        <family val="2"/>
        <scheme val="minor"/>
      </rPr>
      <t>)</t>
    </r>
  </si>
  <si>
    <r>
      <t>Procentueel aandeel van kW</t>
    </r>
    <r>
      <rPr>
        <vertAlign val="subscript"/>
        <sz val="11"/>
        <color indexed="8"/>
        <rFont val="Calibri"/>
        <family val="2"/>
      </rPr>
      <t>MP</t>
    </r>
    <r>
      <rPr>
        <sz val="11"/>
        <color theme="1"/>
        <rFont val="Calibri"/>
        <family val="2"/>
        <scheme val="minor"/>
      </rPr>
      <t xml:space="preserve"> in budget 'Netgebruik' (excl. kW</t>
    </r>
    <r>
      <rPr>
        <vertAlign val="subscript"/>
        <sz val="11"/>
        <color theme="1"/>
        <rFont val="Calibri"/>
        <family val="2"/>
        <scheme val="minor"/>
      </rPr>
      <t>MP-TV</t>
    </r>
    <r>
      <rPr>
        <sz val="11"/>
        <color theme="1"/>
        <rFont val="Calibri"/>
        <family val="2"/>
        <scheme val="minor"/>
      </rPr>
      <t>)</t>
    </r>
  </si>
  <si>
    <r>
      <t>Aandeel van kW</t>
    </r>
    <r>
      <rPr>
        <vertAlign val="subscript"/>
        <sz val="11"/>
        <color indexed="8"/>
        <rFont val="Calibri"/>
        <family val="2"/>
      </rPr>
      <t xml:space="preserve">MP </t>
    </r>
    <r>
      <rPr>
        <sz val="11"/>
        <color indexed="8"/>
        <rFont val="Calibri"/>
        <family val="2"/>
      </rPr>
      <t>t.o.v. aandeel van</t>
    </r>
    <r>
      <rPr>
        <sz val="11"/>
        <color theme="1"/>
        <rFont val="Calibri"/>
        <family val="2"/>
        <scheme val="minor"/>
      </rPr>
      <t xml:space="preserve"> kVA</t>
    </r>
    <r>
      <rPr>
        <vertAlign val="subscript"/>
        <sz val="11"/>
        <color indexed="8"/>
        <rFont val="Calibri"/>
        <family val="2"/>
      </rPr>
      <t>TV</t>
    </r>
    <r>
      <rPr>
        <sz val="11"/>
        <color theme="1"/>
        <rFont val="Calibri"/>
        <family val="2"/>
        <scheme val="minor"/>
      </rPr>
      <t xml:space="preserve"> in budget 'Netgebruik' (excl. kW</t>
    </r>
    <r>
      <rPr>
        <vertAlign val="subscript"/>
        <sz val="11"/>
        <color theme="1"/>
        <rFont val="Calibri"/>
        <family val="2"/>
        <scheme val="minor"/>
      </rPr>
      <t>MP-TV</t>
    </r>
    <r>
      <rPr>
        <sz val="11"/>
        <color theme="1"/>
        <rFont val="Calibri"/>
        <family val="2"/>
        <scheme val="minor"/>
      </rPr>
      <t>)</t>
    </r>
  </si>
  <si>
    <r>
      <t>Tarief voor kW</t>
    </r>
    <r>
      <rPr>
        <vertAlign val="subscript"/>
        <sz val="11"/>
        <color indexed="8"/>
        <rFont val="Calibri"/>
        <family val="2"/>
      </rPr>
      <t>MP-TV</t>
    </r>
    <r>
      <rPr>
        <sz val="11"/>
        <color theme="1"/>
        <rFont val="Calibri"/>
        <family val="2"/>
        <scheme val="minor"/>
      </rPr>
      <t xml:space="preserve"> t.o.v. tarief voor kVA</t>
    </r>
    <r>
      <rPr>
        <vertAlign val="subscript"/>
        <sz val="11"/>
        <color indexed="8"/>
        <rFont val="Calibri"/>
        <family val="2"/>
      </rPr>
      <t>TV</t>
    </r>
    <r>
      <rPr>
        <sz val="11"/>
        <color theme="1"/>
        <rFont val="Calibri"/>
        <family val="2"/>
        <scheme val="minor"/>
      </rPr>
      <t xml:space="preserve"> (beiden op jaarbasis)</t>
    </r>
  </si>
  <si>
    <r>
      <t>Procentueel aandeel van kW</t>
    </r>
    <r>
      <rPr>
        <vertAlign val="subscript"/>
        <sz val="11"/>
        <color indexed="8"/>
        <rFont val="Calibri"/>
        <family val="2"/>
      </rPr>
      <t>gem MP</t>
    </r>
    <r>
      <rPr>
        <sz val="11"/>
        <color theme="1"/>
        <rFont val="Calibri"/>
        <family val="2"/>
        <scheme val="minor"/>
      </rPr>
      <t xml:space="preserve"> in budget 'Netgebruik'</t>
    </r>
  </si>
  <si>
    <r>
      <t>Procentueel aandeel van kWh</t>
    </r>
    <r>
      <rPr>
        <vertAlign val="subscript"/>
        <sz val="11"/>
        <color theme="1"/>
        <rFont val="Calibri"/>
        <family val="2"/>
      </rPr>
      <t>afn</t>
    </r>
    <r>
      <rPr>
        <sz val="11"/>
        <color theme="1"/>
        <rFont val="Calibri"/>
        <family val="2"/>
        <scheme val="minor"/>
      </rPr>
      <t xml:space="preserve"> in budget 'Netgebruik'</t>
    </r>
  </si>
  <si>
    <r>
      <t>Tarief voor vast</t>
    </r>
    <r>
      <rPr>
        <vertAlign val="subscript"/>
        <sz val="11"/>
        <color theme="1"/>
        <rFont val="Calibri"/>
        <family val="2"/>
        <scheme val="minor"/>
      </rPr>
      <t>net</t>
    </r>
    <r>
      <rPr>
        <sz val="11"/>
        <color theme="1"/>
        <rFont val="Calibri"/>
        <family val="2"/>
        <scheme val="minor"/>
      </rPr>
      <t xml:space="preserve"> t.o.v. tarief voor kW</t>
    </r>
    <r>
      <rPr>
        <vertAlign val="subscript"/>
        <sz val="11"/>
        <color indexed="8"/>
        <rFont val="Calibri"/>
        <family val="2"/>
      </rPr>
      <t>gemMP</t>
    </r>
  </si>
  <si>
    <t>Consumptieprijsindex voor juli 2020</t>
  </si>
  <si>
    <t>Dimensionering van omvormer- t.o.v. piekvermogen</t>
  </si>
  <si>
    <t>Vollasturen / benuttiging</t>
  </si>
  <si>
    <t>Zelfconsumptie</t>
  </si>
  <si>
    <t>Factor inzake doorvoertarieven</t>
  </si>
  <si>
    <t>Maximale toename t.o.v. budget in 2020</t>
  </si>
  <si>
    <t>Budget 'Toeslagen' in 2020 toegewezen aan afnameklanten op TRHS</t>
  </si>
  <si>
    <t>Budget 'ODV' in 2020 toegewezen aan afnameklanten op TRHS</t>
  </si>
  <si>
    <t>ODV-tarief voor de financiering van de aansluiting van offshore windturbineparken</t>
  </si>
  <si>
    <t>ODV-tarief voor de financiering van groenestroomcertificaten</t>
  </si>
  <si>
    <t>ODV-tarief voor de financiering van de strategische reserve</t>
  </si>
  <si>
    <t>ODV-tarief voor de steunmaatregelen voor HE en WKK in Vlaanderen</t>
  </si>
  <si>
    <t>ODV-tarief voor de REG-maatregelen in Vlaanderen</t>
  </si>
  <si>
    <t>Op basis van deze gelijkheid kunnen we het procentueel aandeel van elke tariefdrager bepalen ten opzichte van het budget dat de distributienetbeheerder aan de tariefcomponent 'Netgebruik' en de afzonderlijke niet-LS klantengroepen toewijst:</t>
  </si>
  <si>
    <t>I. Met betrekking tot de tariefcomponent 'Netgebruik'</t>
  </si>
  <si>
    <t>I. Gelijkgestelde of één-op-één gerelateerde tarieven</t>
  </si>
  <si>
    <r>
      <t>II. Procentueel aandeel van kVA</t>
    </r>
    <r>
      <rPr>
        <b/>
        <u/>
        <vertAlign val="subscript"/>
        <sz val="11"/>
        <color theme="1"/>
        <rFont val="Calibri"/>
        <family val="2"/>
        <scheme val="minor"/>
      </rPr>
      <t>TV</t>
    </r>
    <r>
      <rPr>
        <b/>
        <u/>
        <sz val="11"/>
        <color theme="1"/>
        <rFont val="Calibri"/>
        <family val="2"/>
        <scheme val="minor"/>
      </rPr>
      <t>, kW</t>
    </r>
    <r>
      <rPr>
        <b/>
        <u/>
        <vertAlign val="subscript"/>
        <sz val="11"/>
        <color theme="1"/>
        <rFont val="Calibri"/>
        <family val="2"/>
      </rPr>
      <t>MP</t>
    </r>
    <r>
      <rPr>
        <b/>
        <u/>
        <sz val="11"/>
        <color theme="1"/>
        <rFont val="Calibri"/>
        <family val="2"/>
        <scheme val="minor"/>
      </rPr>
      <t xml:space="preserve"> en kW</t>
    </r>
    <r>
      <rPr>
        <b/>
        <u/>
        <vertAlign val="subscript"/>
        <sz val="11"/>
        <color theme="1"/>
        <rFont val="Calibri"/>
        <family val="2"/>
        <scheme val="minor"/>
      </rPr>
      <t>MP-TV</t>
    </r>
    <r>
      <rPr>
        <b/>
        <u/>
        <sz val="11"/>
        <color theme="1"/>
        <rFont val="Calibri"/>
        <family val="2"/>
        <scheme val="minor"/>
      </rPr>
      <t xml:space="preserve"> in budget 'Netgebruik' toegewezen aan niet-LS klanten</t>
    </r>
  </si>
  <si>
    <t>Zie de toelichting II hieronder.</t>
  </si>
  <si>
    <t>Afnameklanten op LS met piekmeting (∑)</t>
  </si>
  <si>
    <t>Afnameklanten op TRHS (∑)</t>
  </si>
  <si>
    <t>Afnameklanten op MS (∑)</t>
  </si>
  <si>
    <t>Afnameklanten op LS (∑)</t>
  </si>
  <si>
    <r>
      <t>kWh</t>
    </r>
    <r>
      <rPr>
        <vertAlign val="subscript"/>
        <sz val="11"/>
        <color indexed="8"/>
        <rFont val="Calibri"/>
        <family val="2"/>
      </rPr>
      <t>afn</t>
    </r>
    <r>
      <rPr>
        <vertAlign val="subscript"/>
        <sz val="11"/>
        <color theme="1"/>
        <rFont val="Calibri"/>
        <family val="2"/>
        <scheme val="minor"/>
      </rPr>
      <t xml:space="preserve"> - XN</t>
    </r>
  </si>
  <si>
    <r>
      <t>kWh</t>
    </r>
    <r>
      <rPr>
        <vertAlign val="subscript"/>
        <sz val="11"/>
        <color indexed="8"/>
        <rFont val="Calibri"/>
        <family val="2"/>
      </rPr>
      <t>afn</t>
    </r>
    <r>
      <rPr>
        <vertAlign val="subscript"/>
        <sz val="11"/>
        <color theme="1"/>
        <rFont val="Calibri"/>
        <family val="2"/>
        <scheme val="minor"/>
      </rPr>
      <t xml:space="preserve"> - NU</t>
    </r>
  </si>
  <si>
    <r>
      <t>kWh</t>
    </r>
    <r>
      <rPr>
        <vertAlign val="subscript"/>
        <sz val="11"/>
        <color theme="1"/>
        <rFont val="Calibri"/>
        <family val="2"/>
      </rPr>
      <t>afn - SU</t>
    </r>
  </si>
  <si>
    <t>SynchronePiek_TRHS</t>
  </si>
  <si>
    <t>SynchronePiek_MS</t>
  </si>
  <si>
    <t>SynchronePiek_TRLS</t>
  </si>
  <si>
    <t>SychronePiek_LS</t>
  </si>
  <si>
    <r>
      <t>kW</t>
    </r>
    <r>
      <rPr>
        <vertAlign val="subscript"/>
        <sz val="11"/>
        <color theme="1"/>
        <rFont val="Calibri"/>
        <family val="2"/>
      </rPr>
      <t>gemMP</t>
    </r>
  </si>
  <si>
    <r>
      <t>Afnameklanten op TRLS (</t>
    </r>
    <r>
      <rPr>
        <sz val="11"/>
        <rFont val="Calibri"/>
        <family val="2"/>
      </rPr>
      <t>∑</t>
    </r>
    <r>
      <rPr>
        <sz val="8.8000000000000007"/>
        <rFont val="Calibri"/>
        <family val="2"/>
      </rPr>
      <t>)</t>
    </r>
  </si>
  <si>
    <t>Kapitaalkostenvergoeding voor steuncertificatenvoorraad</t>
  </si>
  <si>
    <t>Verdeelsleutel 
klantengroepen 
voor afname op LS</t>
  </si>
  <si>
    <t>- ODV financiering GSC</t>
  </si>
  <si>
    <t>Afnameklanten  op TRHS (∑)</t>
  </si>
  <si>
    <t>Injectieklanten  op &gt;26-36kV</t>
  </si>
  <si>
    <t>Werkblad</t>
  </si>
  <si>
    <t>Niet-geïnd budget (%)</t>
  </si>
  <si>
    <t>Budgetverhoging (€)</t>
  </si>
  <si>
    <t>Na budgetverhoging</t>
  </si>
  <si>
    <t>Dit rapporteringsmodel heeft als doel om de distributienetbeheerder op gestandaardiseerde wijze aan de VREG te laten rapporteren over het tariefvoorstel dat de distributienetbeheerder op basis van het door de VREG toegelaten inkomen voor de gereguleerde activiteiten 'Elektriciteit' en 'Aardgas' opmaakte.
Dit rapporteringsmodel omvat enkele tabellen en bijkomend aan te leveren informatie die de vertaling van het toegelaten inkomen naar de periodieke distributienettarieven stapsgewijs en op een overzichtelijk manier weergeven.
De VREG behoudt zich de mogelijkheid om, indien nodig, bijkomende informatie buiten dit rapporteringsmodel op te vragen.
De distributienetbeheerder dient het tariefvoorstel onder de vorm van één afgedrukt exemplaar alsook onder elektronische vorm (Excel-formaat) aan te leveren. In de elektronische vorm zijn geen verwijzingen naar externe bestanden (koppelingen) toegelaten.</t>
  </si>
  <si>
    <t>II. Met betrekking tot de tariefcomponent 'Databeheer'</t>
  </si>
  <si>
    <t>III. Met betrekking tot de tariefcomponenten 'Openbare dienstverplichtingen' en 'Toeslagen'</t>
  </si>
  <si>
    <t>IV. Met betrekking tot de tariefcomponent 'Overige transmissie'</t>
  </si>
  <si>
    <t>V. Met betrekking tot de aanvullende capaciteitstarieven</t>
  </si>
  <si>
    <t>VI. Met betrekking tot de doorvoertarieven</t>
  </si>
  <si>
    <t>ReactieveEnergie</t>
  </si>
  <si>
    <t>Openbare dienstverplichtingen excl. afbouw van regulatoire saldi</t>
  </si>
  <si>
    <t>Max Afname TRHS</t>
  </si>
  <si>
    <t>Max Afname MS</t>
  </si>
  <si>
    <t>Max Afname TRLS</t>
  </si>
  <si>
    <t>Max Afname LS</t>
  </si>
  <si>
    <t>Overige kosten</t>
  </si>
  <si>
    <t>Productiemeter</t>
  </si>
  <si>
    <r>
      <t>kWh</t>
    </r>
    <r>
      <rPr>
        <vertAlign val="subscript"/>
        <sz val="11"/>
        <color indexed="8"/>
        <rFont val="Calibri"/>
        <family val="2"/>
      </rPr>
      <t>afn</t>
    </r>
    <r>
      <rPr>
        <vertAlign val="subscript"/>
        <sz val="11"/>
        <color theme="1"/>
        <rFont val="Calibri"/>
        <family val="2"/>
        <scheme val="minor"/>
      </rPr>
      <t xml:space="preserve"> NU</t>
    </r>
  </si>
  <si>
    <r>
      <t>kWh</t>
    </r>
    <r>
      <rPr>
        <vertAlign val="subscript"/>
        <sz val="11"/>
        <color theme="1"/>
        <rFont val="Calibri"/>
        <family val="2"/>
      </rPr>
      <t>afn SU</t>
    </r>
  </si>
  <si>
    <r>
      <t>kWh</t>
    </r>
    <r>
      <rPr>
        <vertAlign val="subscript"/>
        <sz val="11"/>
        <color theme="1"/>
        <rFont val="Calibri"/>
        <family val="2"/>
      </rPr>
      <t>afn XN</t>
    </r>
  </si>
  <si>
    <r>
      <t>kVArh</t>
    </r>
    <r>
      <rPr>
        <vertAlign val="subscript"/>
        <sz val="11"/>
        <color theme="1"/>
        <rFont val="Calibri"/>
        <family val="2"/>
      </rPr>
      <t>ind</t>
    </r>
  </si>
  <si>
    <r>
      <t>kVArh</t>
    </r>
    <r>
      <rPr>
        <vertAlign val="subscript"/>
        <sz val="11"/>
        <color theme="1"/>
        <rFont val="Calibri"/>
        <family val="2"/>
        <scheme val="minor"/>
      </rPr>
      <t>cap</t>
    </r>
  </si>
  <si>
    <t>Toepassing van maximumtarieven - Afname TRHS</t>
  </si>
  <si>
    <t>Toepassing van maximumtarieven - Afname MS</t>
  </si>
  <si>
    <t>Toepassing van maximumtarieven - Afname TRLS</t>
  </si>
  <si>
    <t>Toepassing van maximumtarieven - Afname LS</t>
  </si>
  <si>
    <r>
      <t>kW</t>
    </r>
    <r>
      <rPr>
        <vertAlign val="subscript"/>
        <sz val="11"/>
        <color theme="1"/>
        <rFont val="Calibri"/>
        <family val="2"/>
        <scheme val="minor"/>
      </rPr>
      <t>gemMP</t>
    </r>
  </si>
  <si>
    <r>
      <t>kWh</t>
    </r>
    <r>
      <rPr>
        <vertAlign val="subscript"/>
        <sz val="11"/>
        <color theme="1"/>
        <rFont val="Calibri"/>
        <family val="2"/>
      </rPr>
      <t>inj</t>
    </r>
  </si>
  <si>
    <t>Afnameklanten op LS met piekmeting (x)</t>
  </si>
  <si>
    <t>Afnameklanten op LS met piekmeting (#)</t>
  </si>
  <si>
    <t>Afnameklanten op LS met piekmeting (%)</t>
  </si>
  <si>
    <t>- Niet-geïnd</t>
  </si>
  <si>
    <t>Retributies en GRB-heffing</t>
  </si>
  <si>
    <t>3.2.</t>
  </si>
  <si>
    <t>Lasten niet-gekapitaliseerde pensioenen</t>
  </si>
  <si>
    <t>3.1.</t>
  </si>
  <si>
    <t>3.</t>
  </si>
  <si>
    <t>Tarief openbare dienstverplichtingen</t>
  </si>
  <si>
    <t>2.</t>
  </si>
  <si>
    <t>Tarief databeheer</t>
  </si>
  <si>
    <t>1.3.</t>
  </si>
  <si>
    <t>Tarief systeembeheer</t>
  </si>
  <si>
    <t>1.2.</t>
  </si>
  <si>
    <t>Tarief overbrenging met het net</t>
  </si>
  <si>
    <t>1.1.</t>
  </si>
  <si>
    <t>Tarief gebruik van het distributienet</t>
  </si>
  <si>
    <t>1.</t>
  </si>
  <si>
    <t>TOTAAL</t>
  </si>
  <si>
    <t>ENDOGEEN</t>
  </si>
  <si>
    <t>EXOGEEN</t>
  </si>
  <si>
    <t>T6</t>
  </si>
  <si>
    <t>T4-T5</t>
  </si>
  <si>
    <t>T1-T2-T3</t>
  </si>
  <si>
    <t>DOORVOER</t>
  </si>
  <si>
    <t>KLANTENGROEP 3</t>
  </si>
  <si>
    <t>KLANTENGROEP 2</t>
  </si>
  <si>
    <t>KLANTENGROEP 1</t>
  </si>
  <si>
    <t>INJECTIE</t>
  </si>
  <si>
    <t>AFNAME</t>
  </si>
  <si>
    <t>TABEL 5: Budget per tariefcomponent voor gereguleerde activiteit 'aardgas'</t>
  </si>
  <si>
    <t>MD</t>
  </si>
  <si>
    <t xml:space="preserve">LD </t>
  </si>
  <si>
    <t>T5</t>
  </si>
  <si>
    <t>T4</t>
  </si>
  <si>
    <t>T3</t>
  </si>
  <si>
    <t>T2</t>
  </si>
  <si>
    <t>T1</t>
  </si>
  <si>
    <t>TELEGEMETEN KLANTEN</t>
  </si>
  <si>
    <t>NIET-TELEGEMETEN KLANTEN</t>
  </si>
  <si>
    <r>
      <t>kW</t>
    </r>
    <r>
      <rPr>
        <vertAlign val="subscript"/>
        <sz val="11"/>
        <rFont val="Calibri"/>
        <family val="2"/>
        <scheme val="minor"/>
      </rPr>
      <t>MAXCAP</t>
    </r>
  </si>
  <si>
    <r>
      <t>kWh</t>
    </r>
    <r>
      <rPr>
        <vertAlign val="subscript"/>
        <sz val="11"/>
        <rFont val="Calibri"/>
        <family val="2"/>
      </rPr>
      <t>inj</t>
    </r>
  </si>
  <si>
    <r>
      <t>kWh</t>
    </r>
    <r>
      <rPr>
        <vertAlign val="subscript"/>
        <sz val="11"/>
        <rFont val="Calibri"/>
        <family val="2"/>
      </rPr>
      <t>afn</t>
    </r>
  </si>
  <si>
    <t>YMR</t>
  </si>
  <si>
    <t>EUR/kWh</t>
  </si>
  <si>
    <r>
      <t xml:space="preserve">Maximumtarief </t>
    </r>
    <r>
      <rPr>
        <sz val="9"/>
        <color theme="1"/>
        <rFont val="Calibri"/>
        <family val="2"/>
        <scheme val="minor"/>
      </rPr>
      <t>(toegepast op som van 1.1 + 1.2 + 4 + 5 + 6 en n.v.t. op noodvoedingen)</t>
    </r>
  </si>
  <si>
    <t xml:space="preserve">     b) Tarief ODV - financiering van groenestroomcertificaten</t>
  </si>
  <si>
    <t>Bestaande uit:</t>
  </si>
  <si>
    <t xml:space="preserve">Tarieven m.b.t. transmissiekosten  </t>
  </si>
  <si>
    <t>Tarief voor de toeslagen</t>
  </si>
  <si>
    <t>Tarief voor de openbare dienstverplichtingen</t>
  </si>
  <si>
    <t xml:space="preserve">EUR/jaar </t>
  </si>
  <si>
    <t>Tarief voor het databeheer</t>
  </si>
  <si>
    <t>EUR/kVARh</t>
  </si>
  <si>
    <r>
      <t xml:space="preserve">Tarief voor overschrijding forfaitair toegelaten hoeveelheid
</t>
    </r>
    <r>
      <rPr>
        <sz val="9"/>
        <color theme="1"/>
        <rFont val="Calibri"/>
        <family val="2"/>
        <scheme val="minor"/>
      </rPr>
      <t>(toegepast wanneer de inductieve, resp. capacitieve afgenomen hoeveelheid reactieve energie de forfaitair toegelaten hoeveelheid overschrijdt)</t>
    </r>
  </si>
  <si>
    <r>
      <t xml:space="preserve">Forfaitair toegelaten hoeveelheid reactieve energie </t>
    </r>
    <r>
      <rPr>
        <sz val="9"/>
        <color theme="1"/>
        <rFont val="Calibri"/>
        <family val="2"/>
        <scheme val="minor"/>
      </rPr>
      <t>(% van de afgenomen hoeveelheid actieve energie op kwartierbasis)</t>
    </r>
  </si>
  <si>
    <t>Tarief voor de reactieve energie</t>
  </si>
  <si>
    <t>EUR/kW/maand</t>
  </si>
  <si>
    <r>
      <t xml:space="preserve">Tarief voor overschrijding toegangsvermogen
</t>
    </r>
    <r>
      <rPr>
        <sz val="9"/>
        <color theme="1"/>
        <rFont val="Calibri"/>
        <family val="2"/>
        <scheme val="minor"/>
      </rPr>
      <t>(toegepast wanneer de maandpiek het toegangsvermogen overschrijdt, op het verschil tussen maandpiek en toegangsvermogen (cos phi = 1), gedurende 12 maanden vanaf de maand van overschrijding)</t>
    </r>
  </si>
  <si>
    <t>1.3</t>
  </si>
  <si>
    <r>
      <t xml:space="preserve">Maandpiek </t>
    </r>
    <r>
      <rPr>
        <sz val="9"/>
        <color theme="1"/>
        <rFont val="Calibri"/>
        <family val="2"/>
        <scheme val="minor"/>
      </rPr>
      <t>(maximaal kwartiervermogen per maand)</t>
    </r>
  </si>
  <si>
    <t>1.2</t>
  </si>
  <si>
    <t>EUR/kVA/jaar</t>
  </si>
  <si>
    <r>
      <t xml:space="preserve">Toegangsvermogen </t>
    </r>
    <r>
      <rPr>
        <sz val="9"/>
        <color theme="1"/>
        <rFont val="Calibri"/>
        <family val="2"/>
        <scheme val="minor"/>
      </rPr>
      <t>(gereserveerd door de netgebruiker per jaar)</t>
    </r>
  </si>
  <si>
    <t>1.1</t>
  </si>
  <si>
    <t>Tarieven voor het netgebruik</t>
  </si>
  <si>
    <t xml:space="preserve">Afnemers rechtstreeks aangesloten op een transformator tussen het hoogspannings- en het middenspanningsnet </t>
  </si>
  <si>
    <t xml:space="preserve">Eenheid </t>
  </si>
  <si>
    <t xml:space="preserve">Tarief </t>
  </si>
  <si>
    <t>Trans HS</t>
  </si>
  <si>
    <t>AV &lt; 5 MVA</t>
  </si>
  <si>
    <t>AV ≥ 5 MVA</t>
  </si>
  <si>
    <r>
      <t xml:space="preserve">Onderscheid volgens aansluitingsvermogen </t>
    </r>
    <r>
      <rPr>
        <sz val="11"/>
        <color theme="1"/>
        <rFont val="Calibri"/>
        <family val="2"/>
      </rPr>
      <t>≥</t>
    </r>
    <r>
      <rPr>
        <i/>
        <sz val="11"/>
        <color theme="1"/>
        <rFont val="Calibri"/>
        <family val="2"/>
        <scheme val="minor"/>
      </rPr>
      <t xml:space="preserve"> 5 MVA en &lt; 5 MVA</t>
    </r>
  </si>
  <si>
    <t xml:space="preserve">Afnemers aangesloten op het netwerk met een nominale spanning groter dan 26 kV en tot en met 36 kV </t>
  </si>
  <si>
    <t>&gt; 26-36 kV</t>
  </si>
  <si>
    <t>Afnemers aangesloten op het netwerk met een nominale spanning tussen 26 en 1 kV</t>
  </si>
  <si>
    <t>26-1 kV</t>
  </si>
  <si>
    <t>kWh-tarief exclusief nacht</t>
  </si>
  <si>
    <t>kWh-tarief</t>
  </si>
  <si>
    <t>Tarief voor het netgebruik</t>
  </si>
  <si>
    <t>EUR/kW/jaar</t>
  </si>
  <si>
    <r>
      <t xml:space="preserve">Aanvullend capaciteitstarief voor prosumenten met terugdraaiende teller </t>
    </r>
    <r>
      <rPr>
        <sz val="9"/>
        <color theme="1"/>
        <rFont val="Calibri"/>
        <family val="2"/>
        <scheme val="minor"/>
      </rPr>
      <t>(aangerekend o.b.v. het maximaal AC-vermogen van de decentrale productie-eenheid)</t>
    </r>
  </si>
  <si>
    <r>
      <t>EUR/kWh</t>
    </r>
    <r>
      <rPr>
        <vertAlign val="subscript"/>
        <sz val="9"/>
        <color theme="1"/>
        <rFont val="Calibri"/>
        <family val="2"/>
        <scheme val="minor"/>
      </rPr>
      <t>netto</t>
    </r>
  </si>
  <si>
    <r>
      <t>EUR/kWh</t>
    </r>
    <r>
      <rPr>
        <vertAlign val="subscript"/>
        <sz val="11"/>
        <color theme="1"/>
        <rFont val="Calibri"/>
        <family val="2"/>
        <scheme val="minor"/>
      </rPr>
      <t>netto</t>
    </r>
  </si>
  <si>
    <r>
      <t xml:space="preserve">Tarief m.b.t. transmissiekosten </t>
    </r>
    <r>
      <rPr>
        <sz val="9"/>
        <color theme="1"/>
        <rFont val="Calibri"/>
        <family val="2"/>
        <scheme val="minor"/>
      </rPr>
      <t xml:space="preserve">(aangerekend o.b.v. de afgenomen hoeveelheid actieve energie ná compensatie ) </t>
    </r>
  </si>
  <si>
    <r>
      <t xml:space="preserve">Tarief voor de toeslagen </t>
    </r>
    <r>
      <rPr>
        <sz val="9"/>
        <color theme="1"/>
        <rFont val="Calibri"/>
        <family val="2"/>
        <scheme val="minor"/>
      </rPr>
      <t>(aangerekend o.b.v. de afgenomen hoeveelheid actieve energie ná compensatie )</t>
    </r>
  </si>
  <si>
    <r>
      <t xml:space="preserve">Tarief voor de openbare dienstverplichtingen </t>
    </r>
    <r>
      <rPr>
        <sz val="9"/>
        <color theme="1"/>
        <rFont val="Calibri"/>
        <family val="2"/>
        <scheme val="minor"/>
      </rPr>
      <t>(aangerekend o.b.v. de afgenomen hoeveelheid actieve energie ná compensatie )</t>
    </r>
  </si>
  <si>
    <t xml:space="preserve">Tarief m.b.t. transmissiekosten  </t>
  </si>
  <si>
    <t>(-)</t>
  </si>
  <si>
    <t xml:space="preserve">standaard tariefstructuur </t>
  </si>
  <si>
    <t xml:space="preserve">Afnemers rechtstreeks aangesloten op een transformator tussen het middenspannings- en het laagspanningsnet </t>
  </si>
  <si>
    <t>Trans LS</t>
  </si>
  <si>
    <t>EUR/jaar</t>
  </si>
  <si>
    <r>
      <t xml:space="preserve">Vaste term </t>
    </r>
    <r>
      <rPr>
        <sz val="9"/>
        <color theme="1"/>
        <rFont val="Calibri"/>
        <family val="2"/>
        <scheme val="minor"/>
      </rPr>
      <t>(in bedrag gelijk aan 2,50 kW x het tarief gemiddelde maandpiek van toepassing op LS afnemers met piekmeting)</t>
    </r>
  </si>
  <si>
    <r>
      <t xml:space="preserve">Maximumtarief </t>
    </r>
    <r>
      <rPr>
        <sz val="9"/>
        <color theme="1"/>
        <rFont val="Calibri"/>
        <family val="2"/>
        <scheme val="minor"/>
      </rPr>
      <t>(toegepast op som van 1 + 3 + 4 + 5, minimaal gelijk aan 2,50 kW x  het tarief gemiddelde maandpiek)</t>
    </r>
  </si>
  <si>
    <r>
      <t xml:space="preserve">Gemiddelde maandpiek </t>
    </r>
    <r>
      <rPr>
        <sz val="9"/>
        <color theme="1"/>
        <rFont val="Calibri"/>
        <family val="2"/>
        <scheme val="minor"/>
      </rPr>
      <t>(gemiddelde van de 12 laatste maandpieken (= maximaal kwartiervermogen per maand) waarbij, in geval een maandpiek kleiner is dan 2,50 kW, een minimumwaarde van 2,50 kW in rekening wordt genomen)</t>
    </r>
  </si>
  <si>
    <t>Afnemers aangesloten op het laagspanningsnetwerk (het netwerk met een nominale spanning lager dan 1 kV)</t>
  </si>
  <si>
    <t>LS</t>
  </si>
  <si>
    <r>
      <t xml:space="preserve">Forfaitair toegelaten hoeveelheid reactieve energie </t>
    </r>
    <r>
      <rPr>
        <sz val="9"/>
        <color theme="1"/>
        <rFont val="Calibri"/>
        <family val="2"/>
        <scheme val="minor"/>
      </rPr>
      <t>(% van de afgenomen hoeveelheid actieve energie)</t>
    </r>
  </si>
  <si>
    <r>
      <t xml:space="preserve">Toegangsvermogen </t>
    </r>
    <r>
      <rPr>
        <sz val="9"/>
        <color theme="1"/>
        <rFont val="Calibri"/>
        <family val="2"/>
        <scheme val="minor"/>
      </rPr>
      <t>(gereserveerd per jaar)</t>
    </r>
  </si>
  <si>
    <t>Koppelpunt op 26-1 kV</t>
  </si>
  <si>
    <t>Overdracht van energie tussen de distributienetbeheerders via de koppelpunten tussen hun distributienetten</t>
  </si>
  <si>
    <t>Doorvoer</t>
  </si>
  <si>
    <t>Uitlezing van productiemeter van de productie-installatie</t>
  </si>
  <si>
    <t>Berekend op basis van een maximumtarief van</t>
  </si>
  <si>
    <t>Maximumtarief</t>
  </si>
  <si>
    <t>Aanvullend capaciteitstarief voor prosumenten met terugdraaiende teller</t>
  </si>
  <si>
    <t>Tarieven voor de toeslagen</t>
  </si>
  <si>
    <t>kWh-tarief normaal</t>
  </si>
  <si>
    <t>Tarieven voor de openbare dienstverplichtingen</t>
  </si>
  <si>
    <t>Tarieven voor het databeheer</t>
  </si>
  <si>
    <r>
      <t>Tarief voor overschrijding forfaitair toegelaten hoeveelheid</t>
    </r>
    <r>
      <rPr>
        <sz val="9"/>
        <color theme="1"/>
        <rFont val="Calibri"/>
        <family val="2"/>
        <scheme val="minor"/>
      </rPr>
      <t xml:space="preserve">                                                                                                                                     </t>
    </r>
  </si>
  <si>
    <t xml:space="preserve">Forfaitair toegelaten hoeveelheid reactieve energie </t>
  </si>
  <si>
    <t>Tarieven voor de aanvullende afname van reactieve energie</t>
  </si>
  <si>
    <t xml:space="preserve">Vaste term </t>
  </si>
  <si>
    <t>Gemiddelde maandpiek</t>
  </si>
  <si>
    <t>LS - piekmeting</t>
  </si>
  <si>
    <t xml:space="preserve">Tarief voor overschrijding toegangsvermogen                                                                                                                                                                                                    </t>
  </si>
  <si>
    <t>Maandpiek</t>
  </si>
  <si>
    <t>Toegangsvermogen</t>
  </si>
  <si>
    <t>TRANS HS, &gt;26-36 kV, 26-1 kV, TRANS LS - piekmeting</t>
  </si>
  <si>
    <t>prosumenten met terugdraaiende teller</t>
  </si>
  <si>
    <t>klassieke meter</t>
  </si>
  <si>
    <t>piekmeting</t>
  </si>
  <si>
    <t>AV &lt; 5MVA</t>
  </si>
  <si>
    <t>TRANS LS</t>
  </si>
  <si>
    <t>26-1 KV</t>
  </si>
  <si>
    <t>&gt;26 - 36 kV</t>
  </si>
  <si>
    <t>TRANS HS</t>
  </si>
  <si>
    <t>TABEL 6: Budget per energierichting en klantengroep voor gereguleerde activiteit 'aardgas'</t>
  </si>
  <si>
    <t>TABEL 8: Rekenvolumes en  reconciliatie van budget voor gereguleerde activiteit 'aardgas'</t>
  </si>
  <si>
    <t>TABEL 7: Periodieke distributienettarieven voor gereguleerde activiteit 'aardgas'</t>
  </si>
  <si>
    <r>
      <t>kW</t>
    </r>
    <r>
      <rPr>
        <vertAlign val="subscript"/>
        <sz val="11"/>
        <color theme="1"/>
        <rFont val="Calibri"/>
        <family val="2"/>
      </rPr>
      <t>MAXCAP</t>
    </r>
  </si>
  <si>
    <t>Overige  lokale, provinciale, gewestelijke en federale belastingen, heffingen, toeslagen, bijdragen en retributies</t>
  </si>
  <si>
    <t>6)</t>
  </si>
  <si>
    <t>Rechtspersonenbelasting</t>
  </si>
  <si>
    <t>5)</t>
  </si>
  <si>
    <t>Lasten van niet-gekapitaliseerde pensioenen</t>
  </si>
  <si>
    <t>4)</t>
  </si>
  <si>
    <t>Bijdragen ter dekking van de verloren kosten</t>
  </si>
  <si>
    <t>3)</t>
  </si>
  <si>
    <t>Toeslagen ter dekking van de werkingskosten van de CREG</t>
  </si>
  <si>
    <t>2)</t>
  </si>
  <si>
    <t>Toeslagen of heffingen ter dekking van de openbare dienstverplichtingen</t>
  </si>
  <si>
    <t>1)</t>
  </si>
  <si>
    <t>V. Belastingen, heffingen, toeslagen, bijdragen en retributies</t>
  </si>
  <si>
    <t>IV. Tarieven voor de supplementaire diensten</t>
  </si>
  <si>
    <t>III. Tarieven voor de complementaire diensten</t>
  </si>
  <si>
    <t>II. Het tarief openbare dienstverplichtingen</t>
  </si>
  <si>
    <t>Jaaropname (o.a. digitale gasmeter G4 en G6 voor huishoudelijk en kleine ondernemingen)</t>
  </si>
  <si>
    <t xml:space="preserve">Het tarief voor het systeembeheer </t>
  </si>
  <si>
    <t>EUR/maxcap</t>
  </si>
  <si>
    <t xml:space="preserve">Capaciteit </t>
  </si>
  <si>
    <t xml:space="preserve">Proportionele term </t>
  </si>
  <si>
    <t>Vaste term</t>
  </si>
  <si>
    <t xml:space="preserve">Het basistarief voor overbrenging met het net </t>
  </si>
  <si>
    <t>I. De tarieven voor het gebruik van het distributienet</t>
  </si>
  <si>
    <t>&gt; 10 000 000</t>
  </si>
  <si>
    <t>&lt; 10 000 000</t>
  </si>
  <si>
    <t>&gt; 1 000 000</t>
  </si>
  <si>
    <t>150 001 - 1 000 000</t>
  </si>
  <si>
    <t>5 001 - 150 000</t>
  </si>
  <si>
    <t>0 - 5 000</t>
  </si>
  <si>
    <t>All-in tarief</t>
  </si>
  <si>
    <t>Jaarverbruik (kWh)</t>
  </si>
  <si>
    <t>LD</t>
  </si>
  <si>
    <t>Doorvervoer</t>
  </si>
  <si>
    <t xml:space="preserve">TELEGEMETEN KLANTEN </t>
  </si>
  <si>
    <t xml:space="preserve">NIET-TELEGEMETEN KLANTEN </t>
  </si>
  <si>
    <t>Afname</t>
  </si>
  <si>
    <t>Injectie</t>
  </si>
  <si>
    <t>Aanvullend capaciteitstarief</t>
  </si>
  <si>
    <t>AARDGAS</t>
  </si>
  <si>
    <t>TABEL 8: Rekenvolumes en reconciliatie van budget voor gereguleerde activiteit 'aardgas'</t>
  </si>
  <si>
    <t>TARIEFLIJSTEN</t>
  </si>
  <si>
    <t>ELEK Afname</t>
  </si>
  <si>
    <t>ELEK Afname Trans HS</t>
  </si>
  <si>
    <t>ELEK Afname &gt;26-36 kV</t>
  </si>
  <si>
    <t>ELEK Afname 26-1 kV</t>
  </si>
  <si>
    <t>ELEK Afname Trans LS</t>
  </si>
  <si>
    <t>ELEK Afname LS</t>
  </si>
  <si>
    <t>ELEK Injectie</t>
  </si>
  <si>
    <t>GAS Afname</t>
  </si>
  <si>
    <t>ELEK Afname Doorvoer</t>
  </si>
  <si>
    <t xml:space="preserve">     a) Tarief voor de overige transmissiekosten m.u.v. het tarief ODV vermeld in b)</t>
  </si>
  <si>
    <t xml:space="preserve">     a) Tarief voor de overige transmissiekosten m.u.v. het tarief ODV vermeld in b) </t>
  </si>
  <si>
    <t>Budgettair verschil - vaste tarieven voor de reactieve energie</t>
  </si>
  <si>
    <t>Budgettair verschil - geïndexeerde tarieven voor het databeheer</t>
  </si>
  <si>
    <t>Tarief voor hogere spanningsniveaus in 2021</t>
  </si>
  <si>
    <t>Tarief voor laagspanning met uitlezing van kwartiergegevens in 2021</t>
  </si>
  <si>
    <t>Tarief voor laagspanning met uitlezing op maand/jaarbasis in 2021</t>
  </si>
  <si>
    <t>Tarief voor productiemeters in 2021</t>
  </si>
  <si>
    <t>Doorvoer op LS met piekmeting</t>
  </si>
  <si>
    <t>Doorvoer op LS zonder piekmeting</t>
  </si>
  <si>
    <t>Afnameklanten met klassieke/terugdraaiende meter (∑)</t>
  </si>
  <si>
    <t>Gemiddeld omvormervermogen</t>
  </si>
  <si>
    <r>
      <t>kWh</t>
    </r>
    <r>
      <rPr>
        <vertAlign val="subscript"/>
        <sz val="16.5"/>
        <color theme="0" tint="-0.499984740745262"/>
        <rFont val="Calibri"/>
        <family val="2"/>
      </rPr>
      <t>afn</t>
    </r>
  </si>
  <si>
    <t>Afnameklanten met KM/TT (#)</t>
  </si>
  <si>
    <t>Afnameklanten met KM/TT (x)</t>
  </si>
  <si>
    <t>Afnameklanten met KM/TT (%)</t>
  </si>
  <si>
    <t>Kosten (en opbrengsten) inzake doorvoer - Overige kWh-componenten</t>
  </si>
  <si>
    <t>Kosten (en opbrengsten) inzake doorvoer - Toeslagen</t>
  </si>
  <si>
    <t>Kosten (en opbrengsten) inzake doorvoer - Beheer en ontwikkeling van de netwerkinfrastructuur</t>
  </si>
  <si>
    <t>Kosten (en opbrengsten) inzake doorvoer - Aanvullende afname of injectie van reactieve energie</t>
  </si>
  <si>
    <t>synchronePiek_TRHS</t>
  </si>
  <si>
    <t>- Overige transmissie (excl. GSC)</t>
  </si>
  <si>
    <r>
      <t xml:space="preserve">Overige transmissie </t>
    </r>
    <r>
      <rPr>
        <sz val="10"/>
        <color theme="1"/>
        <rFont val="Calibri"/>
        <family val="2"/>
      </rPr>
      <t>(ODV financiering GSC)</t>
    </r>
  </si>
  <si>
    <r>
      <t xml:space="preserve">Overige transmissie </t>
    </r>
    <r>
      <rPr>
        <sz val="10"/>
        <color theme="1"/>
        <rFont val="Calibri"/>
        <family val="2"/>
      </rPr>
      <t>(excl. GSC)</t>
    </r>
  </si>
  <si>
    <t>Degressiviteit?</t>
  </si>
  <si>
    <t>Transmissienetkosten 'Netgebruik'</t>
  </si>
  <si>
    <t>Hogere spanningsniveaus (Trans HS, &gt;26-36 kV, 26-1 kV, Trans LS)</t>
  </si>
  <si>
    <t>Laagspanning - meetregime: per kwartier</t>
  </si>
  <si>
    <t>Laagspanning - meetregime: maandelijks/jaarlijks</t>
  </si>
  <si>
    <t>GAS Injectie</t>
  </si>
  <si>
    <t>De klantengroepen waarvoor dezelfde of één-op-één gerelateerde tarieven gelden (zie paragraaf 11.5.3 punt 1, 5, 12 en 14), worden in de volgende tabbladen als één gezamenlijke groep behandelt.</t>
  </si>
  <si>
    <t>Overeenkomstig paragraaf 11.5.3 punt 10 uit de tariefmethodologie 2021-2024.</t>
  </si>
  <si>
    <t>Overeenkomstig paragraaf 11.5.3 punt 15 uit de tariefmethodologie 2021-2024.</t>
  </si>
  <si>
    <t>PROD</t>
  </si>
  <si>
    <t>Koppelpunt op LS digitale meter</t>
  </si>
  <si>
    <t>koppelpunt op LS klassieke meter</t>
  </si>
  <si>
    <t>LS - klassieke meter / prosumenten met terugdraaiende teller</t>
  </si>
  <si>
    <r>
      <t xml:space="preserve">Vaste term </t>
    </r>
    <r>
      <rPr>
        <sz val="9"/>
        <color theme="1"/>
        <rFont val="Calibri"/>
        <family val="2"/>
      </rPr>
      <t>(in bedrag gelijk aan 2,50 kW x het tarief gemiddelde maandpiek van toepassing op LS afnemers met piekmeting)</t>
    </r>
  </si>
  <si>
    <r>
      <t xml:space="preserve">kWh-tarief </t>
    </r>
    <r>
      <rPr>
        <sz val="9"/>
        <color theme="1"/>
        <rFont val="Calibri"/>
        <family val="2"/>
      </rPr>
      <t>(aangerekend o.b.v. de afgenomen hoeveelheid actieve energie ná compensatie)</t>
    </r>
  </si>
  <si>
    <t>digitale meter</t>
  </si>
  <si>
    <r>
      <t xml:space="preserve">Trans HS, &gt;26-36 kV, 26-1 kV, Trans LS, LS - piekmeting </t>
    </r>
    <r>
      <rPr>
        <sz val="9"/>
        <color theme="1"/>
        <rFont val="Calibri"/>
        <family val="2"/>
        <scheme val="minor"/>
      </rPr>
      <t>(m.u.v. prosumenten)</t>
    </r>
  </si>
  <si>
    <t>Deze bepaling geldt voor de prosumenten met een terugdraaiende teller op LS.</t>
  </si>
  <si>
    <t>* Correctie van een materiële vergissing</t>
  </si>
  <si>
    <t>EUR/kVA/maand</t>
  </si>
  <si>
    <t>of</t>
  </si>
  <si>
    <t xml:space="preserve">of   </t>
  </si>
  <si>
    <r>
      <t xml:space="preserve">Tarief voor overschrijding toegangsvermogen
</t>
    </r>
    <r>
      <rPr>
        <sz val="9"/>
        <color theme="1"/>
        <rFont val="Calibri"/>
        <family val="2"/>
        <scheme val="minor"/>
      </rPr>
      <t>(toegepast wanneer de maandpiek het toegangsvermogen overschrijdt, op het verschil tussen maandpiek en toegangsvermogen 
(cos phi = 1), gedurende 12 maanden vanaf de maand van overschrijding)</t>
    </r>
  </si>
  <si>
    <t xml:space="preserve">     a) Tarief voor de overige transmissiekosten 
          m.u.v. het tarief ODV vermeld in b)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</si>
</sst>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44" formatCode="_-* #,##0.00\ &quot;€&quot;_-;\-* #,##0.00\ &quot;€&quot;_-;_-* &quot;-&quot;??\ &quot;€&quot;_-;_-@_-"/>
    <numFmt numFmtId="164" formatCode="_-* #,##0.00\ _€_-;\-* #,##0.00\ _€_-;_-* &quot;-&quot;??\ _€_-;_-@_-"/>
    <numFmt numFmtId="165" formatCode="0.0%"/>
    <numFmt numFmtId="166" formatCode="#,##0.0000000"/>
    <numFmt numFmtId="167" formatCode="#.##000"/>
    <numFmt numFmtId="168" formatCode="#.##0,"/>
    <numFmt numFmtId="169" formatCode="\$#,#00"/>
    <numFmt numFmtId="170" formatCode="\$#,"/>
    <numFmt numFmtId="171" formatCode="#,#00"/>
    <numFmt numFmtId="172" formatCode="_-* #,##0.000\ _€_-;\-* #,##0.000\ _€_-;_-* &quot;-&quot;??\ _€_-;_-@_-"/>
    <numFmt numFmtId="173" formatCode="_ * #,##0.00_ ;_ * \-#,##0.00_ ;_ * &quot;-&quot;??_ ;_ @_ "/>
    <numFmt numFmtId="174" formatCode="&quot;€&quot;\ #,##0.00_);\(&quot;€&quot;\ #,##0.00\)"/>
    <numFmt numFmtId="175" formatCode="%#,#00"/>
    <numFmt numFmtId="176" formatCode="[$€-2]\ #,##0.00"/>
    <numFmt numFmtId="177" formatCode="[$€-2]\ #,##0.0000000"/>
    <numFmt numFmtId="178" formatCode="0.0000000"/>
    <numFmt numFmtId="179" formatCode="#,##0.00\ \k\W"/>
    <numFmt numFmtId="180" formatCode="#,##0\ \h"/>
  </numFmts>
  <fonts count="91">
    <font>
      <sz val="11"/>
      <color theme="1"/>
      <name val="Calibri"/>
      <family val="2"/>
      <scheme val="minor"/>
    </font>
    <font>
      <sz val="11"/>
      <color indexed="8"/>
      <name val="Calibri"/>
      <family val="2"/>
    </font>
    <font>
      <sz val="10"/>
      <name val="Arial"/>
      <family val="2"/>
    </font>
    <font>
      <b/>
      <sz val="10"/>
      <name val="Arial"/>
      <family val="2"/>
    </font>
    <font>
      <sz val="20"/>
      <name val="Arial"/>
      <family val="2"/>
    </font>
    <font>
      <b/>
      <sz val="20"/>
      <color indexed="9"/>
      <name val="Arial"/>
      <family val="2"/>
    </font>
    <font>
      <b/>
      <u/>
      <sz val="10"/>
      <name val="Arial"/>
      <family val="2"/>
    </font>
    <font>
      <sz val="10"/>
      <name val="Arial"/>
      <family val="2"/>
    </font>
    <font>
      <sz val="10"/>
      <color indexed="8"/>
      <name val="MS Sans Serif"/>
      <family val="2"/>
    </font>
    <font>
      <sz val="10"/>
      <color indexed="8"/>
      <name val="Arial"/>
      <family val="2"/>
    </font>
    <font>
      <u/>
      <sz val="10"/>
      <color indexed="12"/>
      <name val="Arial"/>
      <family val="2"/>
    </font>
    <font>
      <sz val="8"/>
      <name val="Arial"/>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0"/>
      <color indexed="8"/>
      <name val="Arial"/>
      <family val="2"/>
    </font>
    <font>
      <b/>
      <sz val="10"/>
      <color indexed="39"/>
      <name val="Arial"/>
      <family val="2"/>
    </font>
    <font>
      <b/>
      <sz val="12"/>
      <color indexed="8"/>
      <name val="Arial"/>
      <family val="2"/>
    </font>
    <font>
      <sz val="10"/>
      <color indexed="39"/>
      <name val="Arial"/>
      <family val="2"/>
    </font>
    <font>
      <sz val="19"/>
      <color indexed="48"/>
      <name val="Arial"/>
      <family val="2"/>
    </font>
    <font>
      <sz val="10"/>
      <color indexed="10"/>
      <name val="Arial"/>
      <family val="2"/>
    </font>
    <font>
      <b/>
      <sz val="18"/>
      <color indexed="62"/>
      <name val="Cambria"/>
      <family val="2"/>
    </font>
    <font>
      <b/>
      <sz val="18"/>
      <color indexed="56"/>
      <name val="Cambria"/>
      <family val="2"/>
    </font>
    <font>
      <b/>
      <sz val="11"/>
      <color indexed="8"/>
      <name val="Calibri"/>
      <family val="2"/>
    </font>
    <font>
      <sz val="11"/>
      <color indexed="10"/>
      <name val="Calibri"/>
      <family val="2"/>
    </font>
    <font>
      <b/>
      <sz val="14"/>
      <name val="Arial"/>
      <family val="2"/>
    </font>
    <font>
      <sz val="14"/>
      <name val="Arial"/>
      <family val="2"/>
    </font>
    <font>
      <b/>
      <sz val="12"/>
      <name val="Arial"/>
      <family val="2"/>
    </font>
    <font>
      <b/>
      <sz val="8"/>
      <name val="Arial"/>
      <family val="2"/>
    </font>
    <font>
      <i/>
      <sz val="10"/>
      <name val="Arial"/>
      <family val="2"/>
    </font>
    <font>
      <sz val="10"/>
      <color indexed="12"/>
      <name val="Arial"/>
      <family val="2"/>
    </font>
    <font>
      <b/>
      <sz val="8"/>
      <color indexed="10"/>
      <name val="Arial"/>
      <family val="2"/>
    </font>
    <font>
      <b/>
      <i/>
      <sz val="10"/>
      <name val="Arial"/>
      <family val="2"/>
    </font>
    <font>
      <b/>
      <sz val="11"/>
      <name val="Arial"/>
      <family val="2"/>
    </font>
    <font>
      <sz val="10"/>
      <name val="Arial"/>
      <family val="2"/>
    </font>
    <font>
      <sz val="1"/>
      <color indexed="8"/>
      <name val="Courier"/>
      <family val="3"/>
    </font>
    <font>
      <sz val="12"/>
      <name val="Palatino"/>
      <family val="1"/>
    </font>
    <font>
      <b/>
      <sz val="1"/>
      <color indexed="8"/>
      <name val="Courier"/>
      <family val="3"/>
    </font>
    <font>
      <sz val="9"/>
      <color indexed="8"/>
      <name val="Calibri"/>
      <family val="2"/>
    </font>
    <font>
      <sz val="10"/>
      <name val="Courier"/>
      <family val="3"/>
    </font>
    <font>
      <b/>
      <sz val="9"/>
      <color indexed="9"/>
      <name val="Arial"/>
      <family val="2"/>
    </font>
    <font>
      <sz val="8"/>
      <name val="Calibri"/>
      <family val="2"/>
    </font>
    <font>
      <vertAlign val="subscript"/>
      <sz val="11"/>
      <color indexed="8"/>
      <name val="Calibri"/>
      <family val="2"/>
    </font>
    <font>
      <sz val="11"/>
      <name val="Calibri"/>
      <family val="2"/>
    </font>
    <font>
      <sz val="8.8000000000000007"/>
      <name val="Calibri"/>
      <family val="2"/>
    </font>
    <font>
      <sz val="11"/>
      <color indexed="23"/>
      <name val="Calibri"/>
      <family val="2"/>
    </font>
    <font>
      <vertAlign val="subscript"/>
      <sz val="11"/>
      <color indexed="23"/>
      <name val="Calibri"/>
      <family val="2"/>
    </font>
    <font>
      <sz val="11"/>
      <color theme="1"/>
      <name val="Calibri"/>
      <family val="2"/>
      <scheme val="minor"/>
    </font>
    <font>
      <sz val="9"/>
      <color theme="1"/>
      <name val="Calibri"/>
      <family val="2"/>
      <scheme val="minor"/>
    </font>
    <font>
      <sz val="8"/>
      <color theme="1"/>
      <name val="Arial"/>
      <family val="2"/>
    </font>
    <font>
      <b/>
      <sz val="11"/>
      <color theme="1"/>
      <name val="Calibri"/>
      <family val="2"/>
      <scheme val="minor"/>
    </font>
    <font>
      <b/>
      <u/>
      <sz val="11"/>
      <color theme="1"/>
      <name val="Calibri"/>
      <family val="2"/>
      <scheme val="minor"/>
    </font>
    <font>
      <b/>
      <sz val="8"/>
      <color theme="4" tint="-0.249977111117893"/>
      <name val="Arial"/>
      <family val="2"/>
    </font>
    <font>
      <sz val="11"/>
      <name val="Calibri"/>
      <family val="2"/>
      <scheme val="minor"/>
    </font>
    <font>
      <sz val="10"/>
      <color theme="1"/>
      <name val="Arial"/>
      <family val="2"/>
    </font>
    <font>
      <u/>
      <sz val="10"/>
      <color theme="0" tint="-0.499984740745262"/>
      <name val="Arial"/>
      <family val="2"/>
    </font>
    <font>
      <sz val="11"/>
      <color theme="0" tint="-0.499984740745262"/>
      <name val="Calibri"/>
      <family val="2"/>
      <scheme val="minor"/>
    </font>
    <font>
      <b/>
      <sz val="14"/>
      <color theme="1"/>
      <name val="Calibri"/>
      <family val="2"/>
      <scheme val="minor"/>
    </font>
    <font>
      <sz val="14"/>
      <color theme="1"/>
      <name val="Calibri"/>
      <family val="2"/>
      <scheme val="minor"/>
    </font>
    <font>
      <vertAlign val="subscript"/>
      <sz val="11"/>
      <color theme="1"/>
      <name val="Calibri"/>
      <family val="2"/>
      <scheme val="minor"/>
    </font>
    <font>
      <vertAlign val="subscript"/>
      <sz val="11"/>
      <color theme="1"/>
      <name val="Calibri"/>
      <family val="2"/>
    </font>
    <font>
      <sz val="11"/>
      <color rgb="FFFF0000"/>
      <name val="Calibri"/>
      <family val="2"/>
      <scheme val="minor"/>
    </font>
    <font>
      <b/>
      <u/>
      <vertAlign val="subscript"/>
      <sz val="11"/>
      <color theme="1"/>
      <name val="Calibri"/>
      <family val="2"/>
    </font>
    <font>
      <b/>
      <u/>
      <vertAlign val="subscript"/>
      <sz val="11"/>
      <color theme="1"/>
      <name val="Calibri"/>
      <family val="2"/>
      <scheme val="minor"/>
    </font>
    <font>
      <b/>
      <sz val="11"/>
      <name val="Calibri"/>
      <family val="2"/>
      <scheme val="minor"/>
    </font>
    <font>
      <b/>
      <u/>
      <sz val="11"/>
      <name val="Calibri"/>
      <family val="2"/>
      <scheme val="minor"/>
    </font>
    <font>
      <i/>
      <sz val="11"/>
      <name val="Calibri"/>
      <family val="2"/>
      <scheme val="minor"/>
    </font>
    <font>
      <vertAlign val="subscript"/>
      <sz val="11"/>
      <name val="Calibri"/>
      <family val="2"/>
      <scheme val="minor"/>
    </font>
    <font>
      <vertAlign val="subscript"/>
      <sz val="11"/>
      <name val="Calibri"/>
      <family val="2"/>
    </font>
    <font>
      <i/>
      <sz val="11"/>
      <color theme="1"/>
      <name val="Calibri"/>
      <family val="2"/>
      <scheme val="minor"/>
    </font>
    <font>
      <sz val="11"/>
      <color theme="1"/>
      <name val="Calibri"/>
      <family val="2"/>
    </font>
    <font>
      <b/>
      <sz val="12"/>
      <color theme="1"/>
      <name val="Arial"/>
      <family val="2"/>
    </font>
    <font>
      <vertAlign val="subscript"/>
      <sz val="9"/>
      <color theme="1"/>
      <name val="Calibri"/>
      <family val="2"/>
      <scheme val="minor"/>
    </font>
    <font>
      <sz val="12"/>
      <name val="Arial"/>
      <family val="2"/>
    </font>
    <font>
      <b/>
      <sz val="16"/>
      <name val="Arial"/>
      <family val="2"/>
    </font>
    <font>
      <vertAlign val="subscript"/>
      <sz val="16.5"/>
      <color theme="0" tint="-0.499984740745262"/>
      <name val="Calibri"/>
      <family val="2"/>
    </font>
    <font>
      <sz val="10"/>
      <color theme="1"/>
      <name val="Calibri"/>
      <family val="2"/>
    </font>
    <font>
      <sz val="11"/>
      <color theme="0"/>
      <name val="Calibri"/>
      <family val="2"/>
      <scheme val="minor"/>
    </font>
    <font>
      <sz val="9"/>
      <color theme="1"/>
      <name val="Calibri"/>
      <family val="2"/>
    </font>
    <font>
      <sz val="11"/>
      <color theme="8" tint="-0.249977111117893"/>
      <name val="Calibri"/>
      <family val="2"/>
      <scheme val="minor"/>
    </font>
    <font>
      <sz val="9"/>
      <color theme="8" tint="-0.249977111117893"/>
      <name val="Calibri"/>
      <family val="2"/>
      <scheme val="minor"/>
    </font>
    <font>
      <sz val="10"/>
      <color theme="0" tint="-0.499984740745262"/>
      <name val="Arial"/>
      <family val="2"/>
    </font>
  </fonts>
  <fills count="43">
    <fill>
      <patternFill patternType="none"/>
    </fill>
    <fill>
      <patternFill patternType="gray125"/>
    </fill>
    <fill>
      <patternFill patternType="solid">
        <fgColor indexed="47"/>
      </patternFill>
    </fill>
    <fill>
      <patternFill patternType="solid">
        <fgColor indexed="9"/>
      </patternFill>
    </fill>
    <fill>
      <patternFill patternType="solid">
        <fgColor indexed="45"/>
      </patternFill>
    </fill>
    <fill>
      <patternFill patternType="solid">
        <fgColor indexed="22"/>
      </patternFill>
    </fill>
    <fill>
      <patternFill patternType="solid">
        <fgColor indexed="15"/>
      </patternFill>
    </fill>
    <fill>
      <patternFill patternType="solid">
        <fgColor indexed="52"/>
      </patternFill>
    </fill>
    <fill>
      <patternFill patternType="solid">
        <fgColor indexed="55"/>
      </patternFill>
    </fill>
    <fill>
      <patternFill patternType="solid">
        <fgColor indexed="42"/>
      </patternFill>
    </fill>
    <fill>
      <patternFill patternType="solid">
        <fgColor indexed="43"/>
      </patternFill>
    </fill>
    <fill>
      <patternFill patternType="solid">
        <fgColor indexed="26"/>
      </patternFill>
    </fill>
    <fill>
      <patternFill patternType="solid">
        <fgColor indexed="43"/>
        <bgColor indexed="64"/>
      </patternFill>
    </fill>
    <fill>
      <patternFill patternType="solid">
        <fgColor indexed="40"/>
        <bgColor indexed="64"/>
      </patternFill>
    </fill>
    <fill>
      <patternFill patternType="solid">
        <fgColor indexed="40"/>
      </patternFill>
    </fill>
    <fill>
      <patternFill patternType="solid">
        <fgColor indexed="29"/>
      </patternFill>
    </fill>
    <fill>
      <patternFill patternType="solid">
        <fgColor indexed="10"/>
      </patternFill>
    </fill>
    <fill>
      <patternFill patternType="solid">
        <fgColor indexed="51"/>
      </patternFill>
    </fill>
    <fill>
      <patternFill patternType="solid">
        <fgColor indexed="53"/>
      </patternFill>
    </fill>
    <fill>
      <patternFill patternType="solid">
        <fgColor indexed="57"/>
      </patternFill>
    </fill>
    <fill>
      <patternFill patternType="solid">
        <fgColor indexed="50"/>
      </patternFill>
    </fill>
    <fill>
      <patternFill patternType="solid">
        <fgColor indexed="11"/>
      </patternFill>
    </fill>
    <fill>
      <patternFill patternType="lightUp">
        <fgColor indexed="48"/>
        <bgColor indexed="41"/>
      </patternFill>
    </fill>
    <fill>
      <patternFill patternType="solid">
        <fgColor indexed="41"/>
      </patternFill>
    </fill>
    <fill>
      <patternFill patternType="solid">
        <fgColor indexed="54"/>
        <bgColor indexed="64"/>
      </patternFill>
    </fill>
    <fill>
      <patternFill patternType="solid">
        <fgColor indexed="44"/>
        <bgColor indexed="64"/>
      </patternFill>
    </fill>
    <fill>
      <patternFill patternType="solid">
        <fgColor indexed="41"/>
        <bgColor indexed="64"/>
      </patternFill>
    </fill>
    <fill>
      <patternFill patternType="solid">
        <fgColor indexed="26"/>
        <bgColor indexed="64"/>
      </patternFill>
    </fill>
    <fill>
      <patternFill patternType="solid">
        <fgColor indexed="31"/>
        <bgColor indexed="64"/>
      </patternFill>
    </fill>
    <fill>
      <patternFill patternType="solid">
        <fgColor indexed="9"/>
        <bgColor indexed="64"/>
      </patternFill>
    </fill>
    <fill>
      <patternFill patternType="solid">
        <fgColor theme="0"/>
        <bgColor indexed="64"/>
      </patternFill>
    </fill>
    <fill>
      <patternFill patternType="solid">
        <fgColor rgb="FFFFFFB3"/>
        <bgColor indexed="64"/>
      </patternFill>
    </fill>
    <fill>
      <patternFill patternType="lightUp">
        <bgColor theme="0"/>
      </patternFill>
    </fill>
    <fill>
      <patternFill patternType="solid">
        <fgColor rgb="FFFFFF99"/>
        <bgColor indexed="64"/>
      </patternFill>
    </fill>
    <fill>
      <patternFill patternType="lightUp">
        <bgColor rgb="FFFFFF99"/>
      </patternFill>
    </fill>
    <fill>
      <patternFill patternType="solid">
        <fgColor rgb="FFD0C9F1"/>
        <bgColor indexed="64"/>
      </patternFill>
    </fill>
    <fill>
      <patternFill patternType="solid">
        <fgColor theme="0"/>
        <bgColor theme="1"/>
      </patternFill>
    </fill>
    <fill>
      <patternFill patternType="solid">
        <fgColor theme="1"/>
        <bgColor indexed="64"/>
      </patternFill>
    </fill>
    <fill>
      <patternFill patternType="lightUp">
        <fgColor auto="1"/>
        <bgColor theme="0"/>
      </patternFill>
    </fill>
    <fill>
      <patternFill patternType="solid">
        <fgColor rgb="FFFFFF99"/>
        <bgColor rgb="FFFFC000"/>
      </patternFill>
    </fill>
    <fill>
      <patternFill patternType="lightUp">
        <fgColor auto="1"/>
        <bgColor rgb="FFFFFF99"/>
      </patternFill>
    </fill>
    <fill>
      <patternFill patternType="lightUp">
        <bgColor rgb="FFFFFFB3"/>
      </patternFill>
    </fill>
    <fill>
      <patternFill patternType="solid">
        <fgColor theme="0"/>
        <bgColor rgb="FFFFC000"/>
      </patternFill>
    </fill>
  </fills>
  <borders count="220">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style="thin">
        <color indexed="64"/>
      </left>
      <right style="thin">
        <color indexed="64"/>
      </right>
      <top style="thin">
        <color indexed="64"/>
      </top>
      <bottom style="thin">
        <color indexed="64"/>
      </bottom>
      <diagonal/>
    </border>
    <border>
      <left/>
      <right/>
      <top style="thin">
        <color indexed="62"/>
      </top>
      <bottom style="double">
        <color indexed="62"/>
      </bottom>
      <diagonal/>
    </border>
    <border>
      <left/>
      <right/>
      <top/>
      <bottom style="medium">
        <color indexed="9"/>
      </bottom>
      <diagonal/>
    </border>
    <border>
      <left/>
      <right/>
      <top style="hair">
        <color indexed="64"/>
      </top>
      <bottom style="hair">
        <color indexed="64"/>
      </bottom>
      <diagonal/>
    </border>
    <border>
      <left style="medium">
        <color indexed="64"/>
      </left>
      <right/>
      <top style="hair">
        <color indexed="64"/>
      </top>
      <bottom style="hair">
        <color indexed="64"/>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hair">
        <color indexed="64"/>
      </bottom>
      <diagonal/>
    </border>
    <border>
      <left/>
      <right/>
      <top/>
      <bottom style="hair">
        <color indexed="64"/>
      </bottom>
      <diagonal/>
    </border>
    <border>
      <left style="double">
        <color indexed="64"/>
      </left>
      <right style="medium">
        <color indexed="64"/>
      </right>
      <top style="hair">
        <color indexed="64"/>
      </top>
      <bottom style="hair">
        <color indexed="64"/>
      </bottom>
      <diagonal/>
    </border>
    <border>
      <left style="double">
        <color indexed="64"/>
      </left>
      <right style="double">
        <color indexed="64"/>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diagonal/>
    </border>
    <border>
      <left/>
      <right/>
      <top style="hair">
        <color indexed="64"/>
      </top>
      <bottom/>
      <diagonal/>
    </border>
    <border>
      <left style="medium">
        <color indexed="64"/>
      </left>
      <right style="hair">
        <color indexed="64"/>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hair">
        <color indexed="64"/>
      </right>
      <top style="medium">
        <color indexed="64"/>
      </top>
      <bottom style="hair">
        <color indexed="64"/>
      </bottom>
      <diagonal/>
    </border>
    <border>
      <left/>
      <right style="hair">
        <color indexed="64"/>
      </right>
      <top style="medium">
        <color indexed="64"/>
      </top>
      <bottom style="hair">
        <color indexed="64"/>
      </bottom>
      <diagonal/>
    </border>
    <border>
      <left/>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medium">
        <color indexed="64"/>
      </right>
      <top style="hair">
        <color indexed="64"/>
      </top>
      <bottom style="medium">
        <color indexed="64"/>
      </bottom>
      <diagonal/>
    </border>
    <border>
      <left style="double">
        <color indexed="64"/>
      </left>
      <right style="double">
        <color indexed="64"/>
      </right>
      <top style="hair">
        <color indexed="64"/>
      </top>
      <bottom style="medium">
        <color indexed="64"/>
      </bottom>
      <diagonal/>
    </border>
    <border>
      <left style="medium">
        <color indexed="64"/>
      </left>
      <right style="double">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style="hair">
        <color indexed="64"/>
      </right>
      <top/>
      <bottom/>
      <diagonal/>
    </border>
    <border>
      <left/>
      <right style="hair">
        <color indexed="64"/>
      </right>
      <top/>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hair">
        <color indexed="64"/>
      </top>
      <bottom style="hair">
        <color indexed="64"/>
      </bottom>
      <diagonal/>
    </border>
    <border>
      <left/>
      <right style="medium">
        <color indexed="64"/>
      </right>
      <top style="medium">
        <color indexed="64"/>
      </top>
      <bottom/>
      <diagonal/>
    </border>
    <border>
      <left style="hair">
        <color indexed="64"/>
      </left>
      <right style="hair">
        <color indexed="64"/>
      </right>
      <top style="medium">
        <color indexed="64"/>
      </top>
      <bottom style="medium">
        <color indexed="64"/>
      </bottom>
      <diagonal/>
    </border>
    <border>
      <left/>
      <right style="hair">
        <color indexed="64"/>
      </right>
      <top/>
      <bottom style="hair">
        <color indexed="64"/>
      </bottom>
      <diagonal/>
    </border>
    <border>
      <left style="hair">
        <color indexed="64"/>
      </left>
      <right style="hair">
        <color indexed="64"/>
      </right>
      <top style="medium">
        <color indexed="64"/>
      </top>
      <bottom style="hair">
        <color indexed="64"/>
      </bottom>
      <diagonal/>
    </border>
    <border>
      <left/>
      <right style="medium">
        <color indexed="64"/>
      </right>
      <top style="medium">
        <color indexed="64"/>
      </top>
      <bottom style="hair">
        <color indexed="64"/>
      </bottom>
      <diagonal/>
    </border>
    <border>
      <left style="hair">
        <color indexed="64"/>
      </left>
      <right style="hair">
        <color indexed="64"/>
      </right>
      <top style="hair">
        <color indexed="64"/>
      </top>
      <bottom/>
      <diagonal/>
    </border>
    <border>
      <left style="hair">
        <color indexed="64"/>
      </left>
      <right style="medium">
        <color indexed="64"/>
      </right>
      <top style="hair">
        <color indexed="64"/>
      </top>
      <bottom style="hair">
        <color indexed="64"/>
      </bottom>
      <diagonal/>
    </border>
    <border>
      <left style="hair">
        <color indexed="64"/>
      </left>
      <right style="hair">
        <color indexed="64"/>
      </right>
      <top/>
      <bottom/>
      <diagonal/>
    </border>
    <border>
      <left style="hair">
        <color indexed="64"/>
      </left>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hair">
        <color indexed="64"/>
      </left>
      <right/>
      <top/>
      <bottom style="medium">
        <color indexed="64"/>
      </bottom>
      <diagonal/>
    </border>
    <border>
      <left style="hair">
        <color indexed="64"/>
      </left>
      <right style="hair">
        <color indexed="64"/>
      </right>
      <top/>
      <bottom style="medium">
        <color indexed="64"/>
      </bottom>
      <diagonal/>
    </border>
    <border>
      <left/>
      <right style="hair">
        <color indexed="64"/>
      </right>
      <top/>
      <bottom style="medium">
        <color indexed="64"/>
      </bottom>
      <diagonal/>
    </border>
    <border>
      <left style="hair">
        <color indexed="64"/>
      </left>
      <right style="medium">
        <color indexed="64"/>
      </right>
      <top/>
      <bottom style="medium">
        <color indexed="64"/>
      </bottom>
      <diagonal/>
    </border>
    <border>
      <left style="double">
        <color indexed="64"/>
      </left>
      <right/>
      <top style="hair">
        <color indexed="64"/>
      </top>
      <bottom style="hair">
        <color indexed="64"/>
      </bottom>
      <diagonal/>
    </border>
    <border>
      <left style="double">
        <color indexed="64"/>
      </left>
      <right style="medium">
        <color indexed="64"/>
      </right>
      <top/>
      <bottom style="hair">
        <color indexed="64"/>
      </bottom>
      <diagonal/>
    </border>
    <border>
      <left/>
      <right style="double">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hair">
        <color indexed="64"/>
      </top>
      <bottom style="medium">
        <color indexed="64"/>
      </bottom>
      <diagonal/>
    </border>
    <border>
      <left style="hair">
        <color indexed="64"/>
      </left>
      <right style="medium">
        <color indexed="64"/>
      </right>
      <top style="medium">
        <color indexed="64"/>
      </top>
      <bottom style="hair">
        <color indexed="64"/>
      </bottom>
      <diagonal/>
    </border>
    <border>
      <left style="hair">
        <color indexed="64"/>
      </left>
      <right style="medium">
        <color indexed="64"/>
      </right>
      <top style="hair">
        <color indexed="64"/>
      </top>
      <bottom style="medium">
        <color indexed="64"/>
      </bottom>
      <diagonal/>
    </border>
    <border>
      <left style="medium">
        <color indexed="64"/>
      </left>
      <right/>
      <top style="hair">
        <color indexed="64"/>
      </top>
      <bottom style="medium">
        <color indexed="64"/>
      </bottom>
      <diagonal/>
    </border>
    <border>
      <left/>
      <right style="double">
        <color indexed="64"/>
      </right>
      <top style="hair">
        <color indexed="64"/>
      </top>
      <bottom style="hair">
        <color indexed="64"/>
      </bottom>
      <diagonal/>
    </border>
    <border>
      <left style="double">
        <color indexed="64"/>
      </left>
      <right style="hair">
        <color indexed="64"/>
      </right>
      <top style="hair">
        <color indexed="64"/>
      </top>
      <bottom style="hair">
        <color indexed="64"/>
      </bottom>
      <diagonal/>
    </border>
    <border>
      <left style="double">
        <color indexed="64"/>
      </left>
      <right style="hair">
        <color indexed="64"/>
      </right>
      <top style="medium">
        <color indexed="64"/>
      </top>
      <bottom style="medium">
        <color indexed="64"/>
      </bottom>
      <diagonal/>
    </border>
    <border>
      <left style="hair">
        <color indexed="64"/>
      </left>
      <right style="double">
        <color indexed="64"/>
      </right>
      <top style="medium">
        <color indexed="64"/>
      </top>
      <bottom style="medium">
        <color indexed="64"/>
      </bottom>
      <diagonal/>
    </border>
    <border>
      <left/>
      <right style="double">
        <color indexed="64"/>
      </right>
      <top style="medium">
        <color indexed="64"/>
      </top>
      <bottom style="hair">
        <color indexed="64"/>
      </bottom>
      <diagonal/>
    </border>
    <border>
      <left style="hair">
        <color indexed="64"/>
      </left>
      <right style="double">
        <color indexed="64"/>
      </right>
      <top style="hair">
        <color indexed="64"/>
      </top>
      <bottom style="hair">
        <color indexed="64"/>
      </bottom>
      <diagonal/>
    </border>
    <border>
      <left/>
      <right style="double">
        <color indexed="64"/>
      </right>
      <top style="hair">
        <color indexed="64"/>
      </top>
      <bottom style="medium">
        <color indexed="64"/>
      </bottom>
      <diagonal/>
    </border>
    <border>
      <left style="double">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double">
        <color indexed="64"/>
      </right>
      <top style="hair">
        <color indexed="64"/>
      </top>
      <bottom style="medium">
        <color indexed="64"/>
      </bottom>
      <diagonal/>
    </border>
    <border>
      <left style="hair">
        <color indexed="64"/>
      </left>
      <right/>
      <top style="medium">
        <color indexed="64"/>
      </top>
      <bottom style="hair">
        <color indexed="64"/>
      </bottom>
      <diagonal/>
    </border>
    <border>
      <left style="double">
        <color indexed="64"/>
      </left>
      <right style="hair">
        <color indexed="64"/>
      </right>
      <top style="medium">
        <color indexed="64"/>
      </top>
      <bottom style="hair">
        <color indexed="64"/>
      </bottom>
      <diagonal/>
    </border>
    <border>
      <left style="hair">
        <color indexed="64"/>
      </left>
      <right style="double">
        <color indexed="64"/>
      </right>
      <top style="medium">
        <color indexed="64"/>
      </top>
      <bottom style="hair">
        <color indexed="64"/>
      </bottom>
      <diagonal/>
    </border>
    <border>
      <left style="double">
        <color indexed="64"/>
      </left>
      <right style="double">
        <color indexed="64"/>
      </right>
      <top style="medium">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medium">
        <color indexed="64"/>
      </bottom>
      <diagonal/>
    </border>
    <border>
      <left style="double">
        <color indexed="64"/>
      </left>
      <right style="hair">
        <color indexed="64"/>
      </right>
      <top/>
      <bottom style="medium">
        <color indexed="64"/>
      </bottom>
      <diagonal/>
    </border>
    <border>
      <left style="hair">
        <color indexed="64"/>
      </left>
      <right style="double">
        <color indexed="64"/>
      </right>
      <top style="hair">
        <color indexed="64"/>
      </top>
      <bottom/>
      <diagonal/>
    </border>
    <border>
      <left style="double">
        <color indexed="64"/>
      </left>
      <right style="double">
        <color indexed="64"/>
      </right>
      <top style="hair">
        <color indexed="64"/>
      </top>
      <bottom/>
      <diagonal/>
    </border>
    <border>
      <left style="double">
        <color indexed="64"/>
      </left>
      <right style="double">
        <color indexed="64"/>
      </right>
      <top/>
      <bottom style="medium">
        <color indexed="64"/>
      </bottom>
      <diagonal/>
    </border>
    <border>
      <left style="hair">
        <color indexed="64"/>
      </left>
      <right style="double">
        <color indexed="64"/>
      </right>
      <top/>
      <bottom style="medium">
        <color indexed="64"/>
      </bottom>
      <diagonal/>
    </border>
    <border>
      <left style="double">
        <color indexed="64"/>
      </left>
      <right style="hair">
        <color indexed="64"/>
      </right>
      <top style="hair">
        <color indexed="64"/>
      </top>
      <bottom/>
      <diagonal/>
    </border>
    <border>
      <left/>
      <right style="thin">
        <color indexed="64"/>
      </right>
      <top style="thin">
        <color indexed="64"/>
      </top>
      <bottom style="thin">
        <color indexed="64"/>
      </bottom>
      <diagonal/>
    </border>
    <border>
      <left/>
      <right style="double">
        <color indexed="64"/>
      </right>
      <top style="hair">
        <color indexed="64"/>
      </top>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style="hair">
        <color indexed="64"/>
      </left>
      <right/>
      <top/>
      <bottom style="hair">
        <color indexed="64"/>
      </bottom>
      <diagonal/>
    </border>
    <border>
      <left style="double">
        <color indexed="64"/>
      </left>
      <right style="hair">
        <color indexed="64"/>
      </right>
      <top/>
      <bottom style="hair">
        <color indexed="64"/>
      </bottom>
      <diagonal/>
    </border>
    <border>
      <left style="hair">
        <color indexed="64"/>
      </left>
      <right style="double">
        <color indexed="64"/>
      </right>
      <top/>
      <bottom style="hair">
        <color indexed="64"/>
      </bottom>
      <diagonal/>
    </border>
    <border>
      <left style="double">
        <color indexed="64"/>
      </left>
      <right/>
      <top style="medium">
        <color indexed="64"/>
      </top>
      <bottom/>
      <diagonal/>
    </border>
    <border>
      <left/>
      <right style="double">
        <color indexed="64"/>
      </right>
      <top style="medium">
        <color indexed="64"/>
      </top>
      <bottom/>
      <diagonal/>
    </border>
    <border>
      <left/>
      <right style="double">
        <color indexed="64"/>
      </right>
      <top/>
      <bottom style="medium">
        <color indexed="64"/>
      </bottom>
      <diagonal/>
    </border>
    <border>
      <left style="double">
        <color indexed="64"/>
      </left>
      <right/>
      <top style="medium">
        <color indexed="64"/>
      </top>
      <bottom style="hair">
        <color indexed="64"/>
      </bottom>
      <diagonal/>
    </border>
    <border>
      <left style="hair">
        <color indexed="64"/>
      </left>
      <right style="medium">
        <color indexed="64"/>
      </right>
      <top style="hair">
        <color indexed="64"/>
      </top>
      <bottom/>
      <diagonal/>
    </border>
    <border>
      <left style="medium">
        <color indexed="64"/>
      </left>
      <right style="dotted">
        <color indexed="64"/>
      </right>
      <top style="medium">
        <color indexed="64"/>
      </top>
      <bottom style="hair">
        <color indexed="64"/>
      </bottom>
      <diagonal/>
    </border>
    <border>
      <left style="dotted">
        <color indexed="64"/>
      </left>
      <right/>
      <top style="medium">
        <color indexed="64"/>
      </top>
      <bottom style="hair">
        <color indexed="64"/>
      </bottom>
      <diagonal/>
    </border>
    <border>
      <left style="dotted">
        <color indexed="64"/>
      </left>
      <right style="medium">
        <color indexed="64"/>
      </right>
      <top style="medium">
        <color indexed="64"/>
      </top>
      <bottom style="hair">
        <color indexed="64"/>
      </bottom>
      <diagonal/>
    </border>
    <border>
      <left style="medium">
        <color theme="0" tint="-0.499984740745262"/>
      </left>
      <right/>
      <top style="medium">
        <color theme="0" tint="-0.499984740745262"/>
      </top>
      <bottom style="hair">
        <color theme="0" tint="-0.499984740745262"/>
      </bottom>
      <diagonal/>
    </border>
    <border>
      <left style="double">
        <color theme="0" tint="-0.499984740745262"/>
      </left>
      <right style="double">
        <color theme="0" tint="-0.499984740745262"/>
      </right>
      <top style="medium">
        <color theme="0" tint="-0.499984740745262"/>
      </top>
      <bottom style="hair">
        <color theme="0" tint="-0.499984740745262"/>
      </bottom>
      <diagonal/>
    </border>
    <border>
      <left style="hair">
        <color indexed="64"/>
      </left>
      <right style="hair">
        <color indexed="64"/>
      </right>
      <top style="medium">
        <color theme="0" tint="-0.499984740745262"/>
      </top>
      <bottom style="hair">
        <color theme="0" tint="-0.499984740745262"/>
      </bottom>
      <diagonal/>
    </border>
    <border>
      <left style="hair">
        <color indexed="64"/>
      </left>
      <right style="double">
        <color theme="0" tint="-0.499984740745262"/>
      </right>
      <top style="medium">
        <color theme="0" tint="-0.499984740745262"/>
      </top>
      <bottom style="hair">
        <color theme="0" tint="-0.499984740745262"/>
      </bottom>
      <diagonal/>
    </border>
    <border>
      <left/>
      <right style="medium">
        <color theme="0" tint="-0.499984740745262"/>
      </right>
      <top style="medium">
        <color theme="0" tint="-0.499984740745262"/>
      </top>
      <bottom style="hair">
        <color theme="0" tint="-0.499984740745262"/>
      </bottom>
      <diagonal/>
    </border>
    <border>
      <left style="medium">
        <color theme="0" tint="-0.499984740745262"/>
      </left>
      <right/>
      <top style="hair">
        <color theme="0" tint="-0.499984740745262"/>
      </top>
      <bottom style="medium">
        <color theme="0" tint="-0.499984740745262"/>
      </bottom>
      <diagonal/>
    </border>
    <border>
      <left style="double">
        <color theme="0" tint="-0.499984740745262"/>
      </left>
      <right style="double">
        <color theme="0" tint="-0.499984740745262"/>
      </right>
      <top style="hair">
        <color theme="0" tint="-0.499984740745262"/>
      </top>
      <bottom style="medium">
        <color theme="0" tint="-0.499984740745262"/>
      </bottom>
      <diagonal/>
    </border>
    <border>
      <left style="hair">
        <color indexed="64"/>
      </left>
      <right style="hair">
        <color indexed="64"/>
      </right>
      <top style="hair">
        <color theme="0" tint="-0.499984740745262"/>
      </top>
      <bottom style="medium">
        <color theme="0" tint="-0.499984740745262"/>
      </bottom>
      <diagonal/>
    </border>
    <border>
      <left style="hair">
        <color indexed="64"/>
      </left>
      <right style="double">
        <color theme="0" tint="-0.499984740745262"/>
      </right>
      <top style="hair">
        <color theme="0" tint="-0.499984740745262"/>
      </top>
      <bottom style="medium">
        <color theme="0" tint="-0.499984740745262"/>
      </bottom>
      <diagonal/>
    </border>
    <border>
      <left/>
      <right style="medium">
        <color theme="0" tint="-0.499984740745262"/>
      </right>
      <top style="hair">
        <color theme="0" tint="-0.499984740745262"/>
      </top>
      <bottom style="medium">
        <color theme="0" tint="-0.499984740745262"/>
      </bottom>
      <diagonal/>
    </border>
    <border>
      <left/>
      <right/>
      <top style="medium">
        <color theme="0" tint="-0.499984740745262"/>
      </top>
      <bottom style="hair">
        <color theme="0" tint="-0.499984740745262"/>
      </bottom>
      <diagonal/>
    </border>
    <border>
      <left style="double">
        <color theme="0" tint="-0.499984740745262"/>
      </left>
      <right style="hair">
        <color theme="0" tint="-0.499984740745262"/>
      </right>
      <top style="medium">
        <color theme="0" tint="-0.499984740745262"/>
      </top>
      <bottom style="hair">
        <color theme="0" tint="-0.499984740745262"/>
      </bottom>
      <diagonal/>
    </border>
    <border>
      <left style="medium">
        <color theme="0" tint="-0.499984740745262"/>
      </left>
      <right/>
      <top style="hair">
        <color theme="0" tint="-0.499984740745262"/>
      </top>
      <bottom style="hair">
        <color theme="0" tint="-0.499984740745262"/>
      </bottom>
      <diagonal/>
    </border>
    <border>
      <left/>
      <right/>
      <top style="hair">
        <color theme="0" tint="-0.499984740745262"/>
      </top>
      <bottom style="hair">
        <color theme="0" tint="-0.499984740745262"/>
      </bottom>
      <diagonal/>
    </border>
    <border>
      <left style="double">
        <color theme="0" tint="-0.499984740745262"/>
      </left>
      <right style="hair">
        <color theme="0" tint="-0.499984740745262"/>
      </right>
      <top style="hair">
        <color theme="0" tint="-0.499984740745262"/>
      </top>
      <bottom style="hair">
        <color theme="0" tint="-0.499984740745262"/>
      </bottom>
      <diagonal/>
    </border>
    <border>
      <left style="double">
        <color theme="0" tint="-0.499984740745262"/>
      </left>
      <right style="double">
        <color theme="0" tint="-0.499984740745262"/>
      </right>
      <top style="hair">
        <color theme="0" tint="-0.499984740745262"/>
      </top>
      <bottom style="hair">
        <color theme="0" tint="-0.499984740745262"/>
      </bottom>
      <diagonal/>
    </border>
    <border>
      <left/>
      <right/>
      <top style="hair">
        <color theme="0" tint="-0.499984740745262"/>
      </top>
      <bottom style="medium">
        <color theme="0" tint="-0.499984740745262"/>
      </bottom>
      <diagonal/>
    </border>
    <border>
      <left style="double">
        <color theme="0" tint="-0.499984740745262"/>
      </left>
      <right style="hair">
        <color theme="0" tint="-0.499984740745262"/>
      </right>
      <top style="hair">
        <color theme="0" tint="-0.499984740745262"/>
      </top>
      <bottom style="medium">
        <color theme="0" tint="-0.499984740745262"/>
      </bottom>
      <diagonal/>
    </border>
    <border>
      <left style="double">
        <color indexed="64"/>
      </left>
      <right style="hair">
        <color indexed="64"/>
      </right>
      <top style="medium">
        <color auto="1"/>
      </top>
      <bottom style="medium">
        <color indexed="64"/>
      </bottom>
      <diagonal/>
    </border>
    <border>
      <left style="double">
        <color indexed="64"/>
      </left>
      <right style="double">
        <color indexed="64"/>
      </right>
      <top style="medium">
        <color indexed="64"/>
      </top>
      <bottom style="medium">
        <color indexed="64"/>
      </bottom>
      <diagonal/>
    </border>
    <border>
      <left style="double">
        <color auto="1"/>
      </left>
      <right style="hair">
        <color auto="1"/>
      </right>
      <top style="medium">
        <color theme="0" tint="-0.499984740745262"/>
      </top>
      <bottom style="hair">
        <color theme="0" tint="-0.499984740745262"/>
      </bottom>
      <diagonal/>
    </border>
    <border>
      <left style="hair">
        <color auto="1"/>
      </left>
      <right/>
      <top style="medium">
        <color theme="0" tint="-0.499984740745262"/>
      </top>
      <bottom style="hair">
        <color theme="0" tint="-0.499984740745262"/>
      </bottom>
      <diagonal/>
    </border>
    <border>
      <left style="double">
        <color auto="1"/>
      </left>
      <right style="hair">
        <color auto="1"/>
      </right>
      <top style="hair">
        <color theme="0" tint="-0.499984740745262"/>
      </top>
      <bottom style="hair">
        <color theme="0" tint="-0.499984740745262"/>
      </bottom>
      <diagonal/>
    </border>
    <border>
      <left style="hair">
        <color auto="1"/>
      </left>
      <right style="hair">
        <color auto="1"/>
      </right>
      <top style="hair">
        <color theme="0" tint="-0.499984740745262"/>
      </top>
      <bottom style="hair">
        <color theme="0" tint="-0.499984740745262"/>
      </bottom>
      <diagonal/>
    </border>
    <border>
      <left style="double">
        <color auto="1"/>
      </left>
      <right style="hair">
        <color auto="1"/>
      </right>
      <top style="hair">
        <color theme="0" tint="-0.499984740745262"/>
      </top>
      <bottom style="medium">
        <color theme="0" tint="-0.499984740745262"/>
      </bottom>
      <diagonal/>
    </border>
    <border>
      <left style="hair">
        <color auto="1"/>
      </left>
      <right/>
      <top style="hair">
        <color theme="0" tint="-0.499984740745262"/>
      </top>
      <bottom style="medium">
        <color theme="0" tint="-0.499984740745262"/>
      </bottom>
      <diagonal/>
    </border>
    <border>
      <left style="medium">
        <color indexed="64"/>
      </left>
      <right/>
      <top style="medium">
        <color auto="1"/>
      </top>
      <bottom style="medium">
        <color indexed="64"/>
      </bottom>
      <diagonal/>
    </border>
    <border>
      <left/>
      <right/>
      <top style="medium">
        <color auto="1"/>
      </top>
      <bottom style="medium">
        <color indexed="64"/>
      </bottom>
      <diagonal/>
    </border>
    <border>
      <left/>
      <right style="double">
        <color indexed="64"/>
      </right>
      <top style="medium">
        <color auto="1"/>
      </top>
      <bottom style="medium">
        <color indexed="64"/>
      </bottom>
      <diagonal/>
    </border>
    <border>
      <left style="double">
        <color indexed="64"/>
      </left>
      <right style="hair">
        <color indexed="64"/>
      </right>
      <top style="medium">
        <color auto="1"/>
      </top>
      <bottom style="medium">
        <color indexed="64"/>
      </bottom>
      <diagonal/>
    </border>
    <border>
      <left style="double">
        <color indexed="64"/>
      </left>
      <right style="double">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auto="1"/>
      </left>
      <right style="medium">
        <color auto="1"/>
      </right>
      <top style="medium">
        <color auto="1"/>
      </top>
      <bottom style="medium">
        <color auto="1"/>
      </bottom>
      <diagonal/>
    </border>
    <border>
      <left style="double">
        <color indexed="64"/>
      </left>
      <right/>
      <top/>
      <bottom style="medium">
        <color indexed="64"/>
      </bottom>
      <diagonal/>
    </border>
    <border>
      <left style="double">
        <color indexed="64"/>
      </left>
      <right/>
      <top style="hair">
        <color indexed="64"/>
      </top>
      <bottom/>
      <diagonal/>
    </border>
    <border>
      <left/>
      <right style="double">
        <color indexed="64"/>
      </right>
      <top style="medium">
        <color auto="1"/>
      </top>
      <bottom/>
      <diagonal/>
    </border>
    <border>
      <left style="double">
        <color indexed="64"/>
      </left>
      <right style="double">
        <color indexed="64"/>
      </right>
      <top style="medium">
        <color indexed="64"/>
      </top>
      <bottom/>
      <diagonal/>
    </border>
    <border>
      <left style="double">
        <color indexed="64"/>
      </left>
      <right style="hair">
        <color indexed="64"/>
      </right>
      <top style="medium">
        <color auto="1"/>
      </top>
      <bottom/>
      <diagonal/>
    </border>
    <border>
      <left style="hair">
        <color indexed="64"/>
      </left>
      <right style="hair">
        <color indexed="64"/>
      </right>
      <top style="medium">
        <color indexed="64"/>
      </top>
      <bottom/>
      <diagonal/>
    </border>
    <border>
      <left style="hair">
        <color indexed="64"/>
      </left>
      <right/>
      <top style="medium">
        <color indexed="64"/>
      </top>
      <bottom/>
      <diagonal/>
    </border>
    <border>
      <left style="double">
        <color auto="1"/>
      </left>
      <right/>
      <top style="medium">
        <color auto="1"/>
      </top>
      <bottom/>
      <diagonal/>
    </border>
    <border>
      <left style="medium">
        <color indexed="64"/>
      </left>
      <right style="hair">
        <color indexed="64"/>
      </right>
      <top style="hair">
        <color indexed="64"/>
      </top>
      <bottom/>
      <diagonal/>
    </border>
    <border>
      <left/>
      <right style="hair">
        <color indexed="64"/>
      </right>
      <top style="medium">
        <color theme="0" tint="-0.499984740745262"/>
      </top>
      <bottom style="hair">
        <color theme="0" tint="-0.499984740745262"/>
      </bottom>
      <diagonal/>
    </border>
    <border>
      <left/>
      <right style="hair">
        <color indexed="64"/>
      </right>
      <top style="hair">
        <color theme="0" tint="-0.499984740745262"/>
      </top>
      <bottom style="medium">
        <color theme="0" tint="-0.499984740745262"/>
      </bottom>
      <diagonal/>
    </border>
    <border>
      <left/>
      <right/>
      <top style="medium">
        <color indexed="64"/>
      </top>
      <bottom style="medium">
        <color theme="0" tint="-0.499984740745262"/>
      </bottom>
      <diagonal/>
    </border>
    <border>
      <left style="double">
        <color indexed="64"/>
      </left>
      <right/>
      <top style="medium">
        <color indexed="64"/>
      </top>
      <bottom style="medium">
        <color indexed="64"/>
      </bottom>
      <diagonal/>
    </border>
    <border>
      <left/>
      <right style="hair">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style="double">
        <color indexed="64"/>
      </left>
      <right style="medium">
        <color indexed="64"/>
      </right>
      <top style="medium">
        <color indexed="64"/>
      </top>
      <bottom style="hair">
        <color indexed="64"/>
      </bottom>
      <diagonal/>
    </border>
    <border>
      <left style="medium">
        <color theme="0" tint="-0.499984740745262"/>
      </left>
      <right/>
      <top style="hair">
        <color theme="0" tint="-0.499984740745262"/>
      </top>
      <bottom/>
      <diagonal/>
    </border>
    <border>
      <left/>
      <right/>
      <top style="hair">
        <color theme="0" tint="-0.499984740745262"/>
      </top>
      <bottom/>
      <diagonal/>
    </border>
    <border>
      <left style="double">
        <color auto="1"/>
      </left>
      <right style="hair">
        <color auto="1"/>
      </right>
      <top style="hair">
        <color theme="0" tint="-0.499984740745262"/>
      </top>
      <bottom/>
      <diagonal/>
    </border>
    <border>
      <left style="hair">
        <color auto="1"/>
      </left>
      <right style="hair">
        <color auto="1"/>
      </right>
      <top style="hair">
        <color theme="0" tint="-0.499984740745262"/>
      </top>
      <bottom/>
      <diagonal/>
    </border>
    <border>
      <left style="double">
        <color theme="0" tint="-0.499984740745262"/>
      </left>
      <right style="hair">
        <color theme="0" tint="-0.499984740745262"/>
      </right>
      <top style="hair">
        <color theme="0" tint="-0.499984740745262"/>
      </top>
      <bottom/>
      <diagonal/>
    </border>
    <border>
      <left style="double">
        <color theme="0" tint="-0.499984740745262"/>
      </left>
      <right style="double">
        <color theme="0" tint="-0.499984740745262"/>
      </right>
      <top style="hair">
        <color theme="0" tint="-0.499984740745262"/>
      </top>
      <bottom/>
      <diagonal/>
    </border>
    <border>
      <left style="hair">
        <color indexed="64"/>
      </left>
      <right style="double">
        <color indexed="64"/>
      </right>
      <top style="medium">
        <color indexed="64"/>
      </top>
      <bottom/>
      <diagonal/>
    </border>
    <border>
      <left style="double">
        <color indexed="64"/>
      </left>
      <right style="hair">
        <color indexed="64"/>
      </right>
      <top/>
      <bottom/>
      <diagonal/>
    </border>
    <border>
      <left style="hair">
        <color indexed="64"/>
      </left>
      <right style="double">
        <color indexed="64"/>
      </right>
      <top/>
      <bottom/>
      <diagonal/>
    </border>
    <border>
      <left style="double">
        <color indexed="64"/>
      </left>
      <right style="medium">
        <color indexed="64"/>
      </right>
      <top style="medium">
        <color indexed="64"/>
      </top>
      <bottom/>
      <diagonal/>
    </border>
    <border>
      <left style="double">
        <color indexed="64"/>
      </left>
      <right style="medium">
        <color indexed="64"/>
      </right>
      <top/>
      <bottom/>
      <diagonal/>
    </border>
    <border>
      <left style="double">
        <color indexed="64"/>
      </left>
      <right style="medium">
        <color indexed="64"/>
      </right>
      <top/>
      <bottom style="medium">
        <color indexed="64"/>
      </bottom>
      <diagonal/>
    </border>
    <border>
      <left style="double">
        <color indexed="64"/>
      </left>
      <right style="medium">
        <color indexed="64"/>
      </right>
      <top style="hair">
        <color indexed="64"/>
      </top>
      <bottom/>
      <diagonal/>
    </border>
    <border>
      <left style="hair">
        <color auto="1"/>
      </left>
      <right style="medium">
        <color indexed="64"/>
      </right>
      <top style="medium">
        <color auto="1"/>
      </top>
      <bottom/>
      <diagonal/>
    </border>
    <border>
      <left/>
      <right style="double">
        <color indexed="64"/>
      </right>
      <top/>
      <bottom/>
      <diagonal/>
    </border>
    <border>
      <left style="hair">
        <color indexed="64"/>
      </left>
      <right style="medium">
        <color indexed="64"/>
      </right>
      <top/>
      <bottom/>
      <diagonal/>
    </border>
    <border>
      <left/>
      <right style="hair">
        <color indexed="64"/>
      </right>
      <top style="medium">
        <color indexed="64"/>
      </top>
      <bottom/>
      <diagonal/>
    </border>
    <border>
      <left style="medium">
        <color indexed="64"/>
      </left>
      <right style="double">
        <color indexed="64"/>
      </right>
      <top style="medium">
        <color indexed="64"/>
      </top>
      <bottom/>
      <diagonal/>
    </border>
    <border>
      <left style="medium">
        <color indexed="64"/>
      </left>
      <right style="double">
        <color indexed="64"/>
      </right>
      <top/>
      <bottom style="medium">
        <color indexed="64"/>
      </bottom>
      <diagonal/>
    </border>
    <border>
      <left style="double">
        <color indexed="64"/>
      </left>
      <right/>
      <top/>
      <bottom style="hair">
        <color indexed="64"/>
      </bottom>
      <diagonal/>
    </border>
    <border>
      <left/>
      <right style="medium">
        <color indexed="64"/>
      </right>
      <top/>
      <bottom/>
      <diagonal/>
    </border>
    <border>
      <left/>
      <right style="medium">
        <color indexed="64"/>
      </right>
      <top style="hair">
        <color indexed="64"/>
      </top>
      <bottom/>
      <diagonal/>
    </border>
    <border>
      <left style="double">
        <color indexed="64"/>
      </left>
      <right/>
      <top/>
      <bottom/>
      <diagonal/>
    </border>
    <border>
      <left/>
      <right style="double">
        <color indexed="64"/>
      </right>
      <top/>
      <bottom style="hair">
        <color indexed="64"/>
      </bottom>
      <diagonal/>
    </border>
    <border>
      <left style="double">
        <color auto="1"/>
      </left>
      <right style="double">
        <color auto="1"/>
      </right>
      <top/>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medium">
        <color indexed="64"/>
      </right>
      <top/>
      <bottom style="medium">
        <color indexed="64"/>
      </bottom>
      <diagonal/>
    </border>
    <border>
      <left style="thin">
        <color indexed="64"/>
      </left>
      <right style="medium">
        <color indexed="64"/>
      </right>
      <top/>
      <bottom/>
      <diagonal/>
    </border>
    <border>
      <left style="thin">
        <color indexed="64"/>
      </left>
      <right style="thin">
        <color indexed="64"/>
      </right>
      <top/>
      <bottom/>
      <diagonal/>
    </border>
    <border>
      <left style="medium">
        <color indexed="64"/>
      </left>
      <right style="thin">
        <color indexed="64"/>
      </right>
      <top/>
      <bottom/>
      <diagonal/>
    </border>
    <border>
      <left style="medium">
        <color indexed="64"/>
      </left>
      <right style="medium">
        <color indexed="64"/>
      </right>
      <top/>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hair">
        <color indexed="64"/>
      </right>
      <top/>
      <bottom style="medium">
        <color indexed="64"/>
      </bottom>
      <diagonal/>
    </border>
    <border>
      <left/>
      <right style="medium">
        <color indexed="64"/>
      </right>
      <top/>
      <bottom style="hair">
        <color indexed="64"/>
      </bottom>
      <diagonal/>
    </border>
    <border>
      <left style="medium">
        <color indexed="64"/>
      </left>
      <right style="hair">
        <color indexed="64"/>
      </right>
      <top/>
      <bottom style="hair">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hair">
        <color indexed="64"/>
      </bottom>
      <diagonal/>
    </border>
    <border>
      <left style="medium">
        <color indexed="64"/>
      </left>
      <right style="medium">
        <color indexed="64"/>
      </right>
      <top style="hair">
        <color indexed="64"/>
      </top>
      <bottom style="hair">
        <color indexed="64"/>
      </bottom>
      <diagonal/>
    </border>
    <border>
      <left style="medium">
        <color theme="0" tint="-0.499984740745262"/>
      </left>
      <right/>
      <top/>
      <bottom/>
      <diagonal/>
    </border>
    <border>
      <left style="double">
        <color theme="0" tint="-0.499984740745262"/>
      </left>
      <right style="double">
        <color theme="0" tint="-0.499984740745262"/>
      </right>
      <top/>
      <bottom/>
      <diagonal/>
    </border>
    <border>
      <left style="hair">
        <color indexed="64"/>
      </left>
      <right style="double">
        <color theme="0" tint="-0.499984740745262"/>
      </right>
      <top/>
      <bottom/>
      <diagonal/>
    </border>
    <border>
      <left/>
      <right style="medium">
        <color theme="0" tint="-0.499984740745262"/>
      </right>
      <top/>
      <bottom/>
      <diagonal/>
    </border>
    <border>
      <left style="double">
        <color theme="0" tint="-0.499984740745262"/>
      </left>
      <right style="hair">
        <color indexed="64"/>
      </right>
      <top style="medium">
        <color theme="0" tint="-0.499984740745262"/>
      </top>
      <bottom style="hair">
        <color theme="0" tint="-0.499984740745262"/>
      </bottom>
      <diagonal/>
    </border>
    <border>
      <left style="double">
        <color theme="0" tint="-0.499984740745262"/>
      </left>
      <right style="hair">
        <color indexed="64"/>
      </right>
      <top/>
      <bottom/>
      <diagonal/>
    </border>
    <border>
      <left style="double">
        <color theme="0" tint="-0.499984740745262"/>
      </left>
      <right style="hair">
        <color indexed="64"/>
      </right>
      <top style="hair">
        <color theme="0" tint="-0.499984740745262"/>
      </top>
      <bottom style="medium">
        <color theme="0" tint="-0.499984740745262"/>
      </bottom>
      <diagonal/>
    </border>
    <border>
      <left style="hair">
        <color indexed="64"/>
      </left>
      <right/>
      <top style="hair">
        <color theme="0" tint="-0.499984740745262"/>
      </top>
      <bottom style="hair">
        <color theme="0" tint="-0.499984740745262"/>
      </bottom>
      <diagonal/>
    </border>
    <border>
      <left style="hair">
        <color indexed="64"/>
      </left>
      <right/>
      <top style="hair">
        <color theme="0" tint="-0.499984740745262"/>
      </top>
      <bottom/>
      <diagonal/>
    </border>
    <border>
      <left style="hair">
        <color theme="0" tint="-0.499984740745262"/>
      </left>
      <right style="double">
        <color theme="0" tint="-0.499984740745262"/>
      </right>
      <top style="medium">
        <color theme="0" tint="-0.499984740745262"/>
      </top>
      <bottom style="hair">
        <color theme="0" tint="-0.499984740745262"/>
      </bottom>
      <diagonal/>
    </border>
    <border>
      <left style="double">
        <color theme="0" tint="-0.499984740745262"/>
      </left>
      <right style="medium">
        <color theme="0" tint="-0.499984740745262"/>
      </right>
      <top style="medium">
        <color theme="0" tint="-0.499984740745262"/>
      </top>
      <bottom style="hair">
        <color theme="0" tint="-0.499984740745262"/>
      </bottom>
      <diagonal/>
    </border>
    <border>
      <left style="hair">
        <color theme="0" tint="-0.499984740745262"/>
      </left>
      <right style="double">
        <color theme="0" tint="-0.499984740745262"/>
      </right>
      <top style="hair">
        <color theme="0" tint="-0.499984740745262"/>
      </top>
      <bottom style="hair">
        <color theme="0" tint="-0.499984740745262"/>
      </bottom>
      <diagonal/>
    </border>
    <border>
      <left style="double">
        <color theme="0" tint="-0.499984740745262"/>
      </left>
      <right style="medium">
        <color theme="0" tint="-0.499984740745262"/>
      </right>
      <top style="hair">
        <color theme="0" tint="-0.499984740745262"/>
      </top>
      <bottom style="hair">
        <color theme="0" tint="-0.499984740745262"/>
      </bottom>
      <diagonal/>
    </border>
    <border>
      <left style="hair">
        <color theme="0" tint="-0.499984740745262"/>
      </left>
      <right style="double">
        <color theme="0" tint="-0.499984740745262"/>
      </right>
      <top style="hair">
        <color theme="0" tint="-0.499984740745262"/>
      </top>
      <bottom/>
      <diagonal/>
    </border>
    <border>
      <left style="double">
        <color theme="0" tint="-0.499984740745262"/>
      </left>
      <right style="medium">
        <color theme="0" tint="-0.499984740745262"/>
      </right>
      <top style="hair">
        <color theme="0" tint="-0.499984740745262"/>
      </top>
      <bottom/>
      <diagonal/>
    </border>
    <border>
      <left style="hair">
        <color theme="0" tint="-0.499984740745262"/>
      </left>
      <right style="double">
        <color theme="0" tint="-0.499984740745262"/>
      </right>
      <top style="hair">
        <color theme="0" tint="-0.499984740745262"/>
      </top>
      <bottom style="medium">
        <color theme="0" tint="-0.499984740745262"/>
      </bottom>
      <diagonal/>
    </border>
    <border>
      <left style="double">
        <color theme="0" tint="-0.499984740745262"/>
      </left>
      <right style="medium">
        <color theme="0" tint="-0.499984740745262"/>
      </right>
      <top style="hair">
        <color theme="0" tint="-0.499984740745262"/>
      </top>
      <bottom style="medium">
        <color theme="0" tint="-0.499984740745262"/>
      </bottom>
      <diagonal/>
    </border>
  </borders>
  <cellStyleXfs count="269">
    <xf numFmtId="0" fontId="0" fillId="0" borderId="0"/>
    <xf numFmtId="0" fontId="2" fillId="0" borderId="0"/>
    <xf numFmtId="0" fontId="12" fillId="4" borderId="0" applyNumberFormat="0" applyBorder="0" applyAlignment="0" applyProtection="0"/>
    <xf numFmtId="0" fontId="13" fillId="5" borderId="1" applyNumberFormat="0" applyAlignment="0" applyProtection="0"/>
    <xf numFmtId="0" fontId="14" fillId="8" borderId="2" applyNumberFormat="0" applyAlignment="0" applyProtection="0"/>
    <xf numFmtId="167" fontId="44" fillId="0" borderId="0">
      <protection locked="0"/>
    </xf>
    <xf numFmtId="164" fontId="2" fillId="0" borderId="0" applyFont="0" applyFill="0" applyBorder="0" applyAlignment="0" applyProtection="0"/>
    <xf numFmtId="168" fontId="44" fillId="0" borderId="0">
      <protection locked="0"/>
    </xf>
    <xf numFmtId="169" fontId="44" fillId="0" borderId="0">
      <protection locked="0"/>
    </xf>
    <xf numFmtId="170" fontId="44" fillId="0" borderId="0">
      <protection locked="0"/>
    </xf>
    <xf numFmtId="0" fontId="44" fillId="0" borderId="0">
      <protection locked="0"/>
    </xf>
    <xf numFmtId="0" fontId="45" fillId="0" borderId="0" applyNumberFormat="0" applyFill="0" applyBorder="0" applyAlignment="0" applyProtection="0"/>
    <xf numFmtId="44" fontId="2" fillId="0" borderId="0" applyFont="0" applyFill="0" applyBorder="0" applyAlignment="0" applyProtection="0"/>
    <xf numFmtId="0" fontId="15" fillId="0" borderId="0" applyNumberFormat="0" applyFill="0" applyBorder="0" applyAlignment="0" applyProtection="0"/>
    <xf numFmtId="171" fontId="44" fillId="0" borderId="0">
      <protection locked="0"/>
    </xf>
    <xf numFmtId="0" fontId="16" fillId="9" borderId="0" applyNumberFormat="0" applyBorder="0" applyAlignment="0" applyProtection="0"/>
    <xf numFmtId="0" fontId="17" fillId="0" borderId="4" applyNumberFormat="0" applyFill="0" applyAlignment="0" applyProtection="0"/>
    <xf numFmtId="0" fontId="18" fillId="0" borderId="5" applyNumberFormat="0" applyFill="0" applyAlignment="0" applyProtection="0"/>
    <xf numFmtId="0" fontId="19" fillId="0" borderId="6" applyNumberFormat="0" applyFill="0" applyAlignment="0" applyProtection="0"/>
    <xf numFmtId="0" fontId="19" fillId="0" borderId="0" applyNumberFormat="0" applyFill="0" applyBorder="0" applyAlignment="0" applyProtection="0"/>
    <xf numFmtId="0" fontId="46" fillId="0" borderId="0">
      <protection locked="0"/>
    </xf>
    <xf numFmtId="0" fontId="46" fillId="0" borderId="0">
      <protection locked="0"/>
    </xf>
    <xf numFmtId="0" fontId="10" fillId="0" borderId="0" applyNumberFormat="0" applyFill="0" applyBorder="0" applyAlignment="0" applyProtection="0">
      <alignment vertical="top"/>
      <protection locked="0"/>
    </xf>
    <xf numFmtId="0" fontId="20" fillId="2" borderId="1" applyNumberFormat="0" applyAlignment="0" applyProtection="0"/>
    <xf numFmtId="0" fontId="2" fillId="0" borderId="0" applyFont="0" applyFill="0" applyBorder="0" applyAlignment="0" applyProtection="0"/>
    <xf numFmtId="0" fontId="2" fillId="0" borderId="0" applyFont="0" applyFill="0" applyBorder="0" applyAlignment="0" applyProtection="0"/>
    <xf numFmtId="172" fontId="2"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4" fontId="2" fillId="0" borderId="0" applyFont="0" applyFill="0" applyBorder="0" applyAlignment="0" applyProtection="0"/>
    <xf numFmtId="164" fontId="2" fillId="0" borderId="0" applyFont="0" applyFill="0" applyBorder="0" applyAlignment="0" applyProtection="0"/>
    <xf numFmtId="0" fontId="2" fillId="0" borderId="0" applyFont="0" applyFill="0" applyBorder="0" applyAlignment="0" applyProtection="0"/>
    <xf numFmtId="164" fontId="2" fillId="0" borderId="0" applyFont="0" applyFill="0" applyBorder="0" applyAlignment="0" applyProtection="0"/>
    <xf numFmtId="173" fontId="47" fillId="0" borderId="0" applyFont="0" applyFill="0" applyBorder="0" applyAlignment="0" applyProtection="0"/>
    <xf numFmtId="174" fontId="2" fillId="0" borderId="0" applyFont="0" applyFill="0" applyBorder="0" applyAlignment="0" applyProtection="0"/>
    <xf numFmtId="165" fontId="47" fillId="0" borderId="0" applyFont="0" applyFill="0" applyBorder="0" applyAlignment="0" applyProtection="0"/>
    <xf numFmtId="173" fontId="47"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4" fontId="2" fillId="0" borderId="0" applyFont="0" applyFill="0" applyBorder="0" applyAlignment="0" applyProtection="0"/>
    <xf numFmtId="173" fontId="57"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0" fontId="21" fillId="0" borderId="3" applyNumberFormat="0" applyFill="0" applyAlignment="0" applyProtection="0"/>
    <xf numFmtId="164" fontId="2" fillId="0" borderId="0" applyFont="0" applyFill="0" applyBorder="0" applyAlignment="0" applyProtection="0"/>
    <xf numFmtId="164" fontId="56" fillId="0" borderId="0" applyFont="0" applyFill="0" applyBorder="0" applyAlignment="0" applyProtection="0"/>
    <xf numFmtId="164" fontId="2" fillId="0" borderId="0" applyFont="0" applyFill="0" applyBorder="0" applyAlignment="0" applyProtection="0"/>
    <xf numFmtId="0" fontId="22" fillId="10" borderId="0" applyNumberFormat="0" applyBorder="0" applyAlignment="0" applyProtection="0"/>
    <xf numFmtId="0" fontId="2"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2" fillId="0" borderId="0"/>
    <xf numFmtId="0" fontId="2" fillId="0" borderId="0"/>
    <xf numFmtId="0" fontId="2" fillId="0" borderId="0"/>
    <xf numFmtId="0" fontId="2" fillId="0" borderId="0"/>
    <xf numFmtId="0" fontId="2" fillId="0" borderId="0"/>
    <xf numFmtId="0" fontId="2"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2" fillId="0" borderId="0"/>
    <xf numFmtId="0" fontId="2"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2"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2" fillId="0" borderId="0"/>
    <xf numFmtId="0" fontId="56" fillId="0" borderId="0"/>
    <xf numFmtId="0" fontId="56" fillId="0" borderId="0"/>
    <xf numFmtId="0" fontId="56" fillId="0" borderId="0"/>
    <xf numFmtId="0" fontId="56" fillId="0" borderId="0"/>
    <xf numFmtId="0" fontId="56" fillId="0" borderId="0"/>
    <xf numFmtId="0" fontId="2" fillId="0" borderId="0"/>
    <xf numFmtId="0" fontId="8" fillId="0" borderId="0"/>
    <xf numFmtId="0" fontId="2" fillId="11" borderId="7" applyNumberFormat="0" applyFont="0" applyAlignment="0" applyProtection="0"/>
    <xf numFmtId="0" fontId="48" fillId="0" borderId="0"/>
    <xf numFmtId="0" fontId="23" fillId="5" borderId="8" applyNumberFormat="0" applyAlignment="0" applyProtection="0"/>
    <xf numFmtId="175" fontId="44" fillId="0" borderId="0">
      <protection locked="0"/>
    </xf>
    <xf numFmtId="9" fontId="2" fillId="0" borderId="0" applyFont="0" applyFill="0" applyBorder="0" applyAlignment="0" applyProtection="0"/>
    <xf numFmtId="9" fontId="2" fillId="0" borderId="0" applyFont="0" applyFill="0" applyBorder="0" applyAlignment="0" applyProtection="0"/>
    <xf numFmtId="9" fontId="56"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4" fontId="24" fillId="10" borderId="9" applyNumberFormat="0" applyProtection="0">
      <alignment vertical="center"/>
    </xf>
    <xf numFmtId="4" fontId="25" fillId="12" borderId="9" applyNumberFormat="0" applyProtection="0">
      <alignment vertical="center"/>
    </xf>
    <xf numFmtId="4" fontId="24" fillId="12" borderId="9" applyNumberFormat="0" applyProtection="0">
      <alignment horizontal="left" vertical="center" indent="1"/>
    </xf>
    <xf numFmtId="0" fontId="24" fillId="12" borderId="9" applyNumberFormat="0" applyProtection="0">
      <alignment horizontal="left" vertical="top" indent="1"/>
    </xf>
    <xf numFmtId="4" fontId="24" fillId="13" borderId="0" applyNumberFormat="0" applyProtection="0">
      <alignment horizontal="left" vertical="center" indent="1"/>
    </xf>
    <xf numFmtId="4" fontId="24" fillId="14" borderId="0" applyNumberFormat="0" applyProtection="0">
      <alignment horizontal="left" vertical="center" indent="1"/>
    </xf>
    <xf numFmtId="4" fontId="9" fillId="4" borderId="9" applyNumberFormat="0" applyProtection="0">
      <alignment horizontal="right" vertical="center"/>
    </xf>
    <xf numFmtId="4" fontId="9" fillId="15" borderId="9" applyNumberFormat="0" applyProtection="0">
      <alignment horizontal="right" vertical="center"/>
    </xf>
    <xf numFmtId="4" fontId="9" fillId="16" borderId="9" applyNumberFormat="0" applyProtection="0">
      <alignment horizontal="right" vertical="center"/>
    </xf>
    <xf numFmtId="4" fontId="9" fillId="17" borderId="9" applyNumberFormat="0" applyProtection="0">
      <alignment horizontal="right" vertical="center"/>
    </xf>
    <xf numFmtId="4" fontId="9" fillId="7" borderId="9" applyNumberFormat="0" applyProtection="0">
      <alignment horizontal="right" vertical="center"/>
    </xf>
    <xf numFmtId="4" fontId="9" fillId="18" borderId="9" applyNumberFormat="0" applyProtection="0">
      <alignment horizontal="right" vertical="center"/>
    </xf>
    <xf numFmtId="4" fontId="9" fillId="19" borderId="9" applyNumberFormat="0" applyProtection="0">
      <alignment horizontal="right" vertical="center"/>
    </xf>
    <xf numFmtId="4" fontId="9" fillId="20" borderId="9" applyNumberFormat="0" applyProtection="0">
      <alignment horizontal="right" vertical="center"/>
    </xf>
    <xf numFmtId="4" fontId="9" fillId="21" borderId="9" applyNumberFormat="0" applyProtection="0">
      <alignment horizontal="right" vertical="center"/>
    </xf>
    <xf numFmtId="4" fontId="24" fillId="22" borderId="10" applyNumberFormat="0" applyProtection="0">
      <alignment horizontal="left" vertical="center" indent="1"/>
    </xf>
    <xf numFmtId="4" fontId="9" fillId="23" borderId="0" applyNumberFormat="0" applyProtection="0">
      <alignment horizontal="left" vertical="center" indent="1"/>
    </xf>
    <xf numFmtId="4" fontId="26" fillId="24" borderId="0" applyNumberFormat="0" applyProtection="0">
      <alignment horizontal="left" vertical="center" indent="1"/>
    </xf>
    <xf numFmtId="4" fontId="9" fillId="14" borderId="9" applyNumberFormat="0" applyProtection="0">
      <alignment horizontal="right" vertical="center"/>
    </xf>
    <xf numFmtId="4" fontId="9" fillId="23" borderId="0" applyNumberFormat="0" applyProtection="0">
      <alignment horizontal="left" vertical="center" indent="1"/>
    </xf>
    <xf numFmtId="4" fontId="9" fillId="13" borderId="0" applyNumberFormat="0" applyProtection="0">
      <alignment horizontal="left" vertical="center" indent="1"/>
    </xf>
    <xf numFmtId="0" fontId="2" fillId="24" borderId="9" applyNumberFormat="0" applyProtection="0">
      <alignment horizontal="left" vertical="center" indent="1"/>
    </xf>
    <xf numFmtId="0" fontId="2" fillId="24" borderId="9" applyNumberFormat="0" applyProtection="0">
      <alignment horizontal="left" vertical="top" indent="1"/>
    </xf>
    <xf numFmtId="0" fontId="2" fillId="13" borderId="9" applyNumberFormat="0" applyProtection="0">
      <alignment horizontal="left" vertical="center" indent="1"/>
    </xf>
    <xf numFmtId="0" fontId="2" fillId="13" borderId="9" applyNumberFormat="0" applyProtection="0">
      <alignment horizontal="left" vertical="top" indent="1"/>
    </xf>
    <xf numFmtId="0" fontId="2" fillId="25" borderId="9" applyNumberFormat="0" applyProtection="0">
      <alignment horizontal="left" vertical="center" indent="1"/>
    </xf>
    <xf numFmtId="0" fontId="2" fillId="25" borderId="9" applyNumberFormat="0" applyProtection="0">
      <alignment horizontal="left" vertical="top" indent="1"/>
    </xf>
    <xf numFmtId="0" fontId="2" fillId="26" borderId="9" applyNumberFormat="0" applyProtection="0">
      <alignment horizontal="left" vertical="center" indent="1"/>
    </xf>
    <xf numFmtId="0" fontId="2" fillId="26" borderId="9" applyNumberFormat="0" applyProtection="0">
      <alignment horizontal="left" vertical="top" indent="1"/>
    </xf>
    <xf numFmtId="0" fontId="2" fillId="3" borderId="11" applyNumberFormat="0">
      <protection locked="0"/>
    </xf>
    <xf numFmtId="4" fontId="9" fillId="27" borderId="9" applyNumberFormat="0" applyProtection="0">
      <alignment vertical="center"/>
    </xf>
    <xf numFmtId="4" fontId="27" fillId="27" borderId="9" applyNumberFormat="0" applyProtection="0">
      <alignment vertical="center"/>
    </xf>
    <xf numFmtId="4" fontId="9" fillId="27" borderId="9" applyNumberFormat="0" applyProtection="0">
      <alignment horizontal="left" vertical="center" indent="1"/>
    </xf>
    <xf numFmtId="0" fontId="9" fillId="27" borderId="9" applyNumberFormat="0" applyProtection="0">
      <alignment horizontal="left" vertical="top" indent="1"/>
    </xf>
    <xf numFmtId="4" fontId="9" fillId="23" borderId="9" applyNumberFormat="0" applyProtection="0">
      <alignment horizontal="right" vertical="center"/>
    </xf>
    <xf numFmtId="4" fontId="27" fillId="23" borderId="9" applyNumberFormat="0" applyProtection="0">
      <alignment horizontal="right" vertical="center"/>
    </xf>
    <xf numFmtId="4" fontId="9" fillId="14" borderId="9" applyNumberFormat="0" applyProtection="0">
      <alignment horizontal="left" vertical="center" indent="1"/>
    </xf>
    <xf numFmtId="4" fontId="9" fillId="14" borderId="9" applyNumberFormat="0" applyProtection="0">
      <alignment horizontal="left" vertical="center" indent="1"/>
    </xf>
    <xf numFmtId="0" fontId="9" fillId="13" borderId="9" applyNumberFormat="0" applyProtection="0">
      <alignment horizontal="left" vertical="top" indent="1"/>
    </xf>
    <xf numFmtId="4" fontId="28" fillId="6" borderId="0" applyNumberFormat="0" applyProtection="0">
      <alignment horizontal="left" vertical="center" indent="1"/>
    </xf>
    <xf numFmtId="4" fontId="29" fillId="23" borderId="9" applyNumberFormat="0" applyProtection="0">
      <alignment horizontal="right" vertical="center"/>
    </xf>
    <xf numFmtId="0" fontId="30" fillId="0" borderId="0" applyNumberFormat="0" applyFill="0" applyBorder="0" applyAlignment="0" applyProtection="0"/>
    <xf numFmtId="0" fontId="2" fillId="0" borderId="0"/>
    <xf numFmtId="0" fontId="2" fillId="0" borderId="0"/>
    <xf numFmtId="0" fontId="2" fillId="0" borderId="0"/>
    <xf numFmtId="0" fontId="7" fillId="0" borderId="0"/>
    <xf numFmtId="0" fontId="2" fillId="0" borderId="0">
      <alignment vertical="top"/>
    </xf>
    <xf numFmtId="0" fontId="2" fillId="0" borderId="0"/>
    <xf numFmtId="0" fontId="2" fillId="0" borderId="0">
      <alignment vertical="top"/>
    </xf>
    <xf numFmtId="0" fontId="2" fillId="0" borderId="0"/>
    <xf numFmtId="0" fontId="2" fillId="0" borderId="0"/>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xf numFmtId="0" fontId="2" fillId="0" borderId="0">
      <alignment vertical="top"/>
    </xf>
    <xf numFmtId="0" fontId="2" fillId="0" borderId="0">
      <alignment vertical="top"/>
    </xf>
    <xf numFmtId="0" fontId="2" fillId="0" borderId="0"/>
    <xf numFmtId="0" fontId="2" fillId="0" borderId="0"/>
    <xf numFmtId="0" fontId="56" fillId="0" borderId="0"/>
    <xf numFmtId="0" fontId="2" fillId="0" borderId="0">
      <alignment vertical="top"/>
    </xf>
    <xf numFmtId="0" fontId="56" fillId="0" borderId="0"/>
    <xf numFmtId="0" fontId="56" fillId="0" borderId="0"/>
    <xf numFmtId="0" fontId="56" fillId="0" borderId="0"/>
    <xf numFmtId="0" fontId="56" fillId="0" borderId="0"/>
    <xf numFmtId="0" fontId="56" fillId="0" borderId="0"/>
    <xf numFmtId="0" fontId="1" fillId="0" borderId="0"/>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58" fillId="0" borderId="0"/>
    <xf numFmtId="0" fontId="2" fillId="0" borderId="0"/>
    <xf numFmtId="0" fontId="2" fillId="0" borderId="0"/>
    <xf numFmtId="0" fontId="2" fillId="0" borderId="0"/>
    <xf numFmtId="0" fontId="57" fillId="0" borderId="0"/>
    <xf numFmtId="0" fontId="43" fillId="0" borderId="0"/>
    <xf numFmtId="0" fontId="8" fillId="0" borderId="0"/>
    <xf numFmtId="0" fontId="2" fillId="0" borderId="0"/>
    <xf numFmtId="0" fontId="9" fillId="0" borderId="0">
      <alignment vertical="top"/>
    </xf>
    <xf numFmtId="0" fontId="9" fillId="0" borderId="0">
      <alignment vertical="top"/>
    </xf>
    <xf numFmtId="0" fontId="31" fillId="0" borderId="0" applyNumberFormat="0" applyFill="0" applyBorder="0" applyAlignment="0" applyProtection="0"/>
    <xf numFmtId="0" fontId="32" fillId="0" borderId="12" applyNumberFormat="0" applyFill="0" applyAlignment="0" applyProtection="0"/>
    <xf numFmtId="44" fontId="2" fillId="0" borderId="0" applyFont="0" applyFill="0" applyBorder="0" applyAlignment="0" applyProtection="0"/>
    <xf numFmtId="0" fontId="33" fillId="0" borderId="0" applyNumberFormat="0" applyFill="0" applyBorder="0" applyAlignment="0" applyProtection="0"/>
    <xf numFmtId="0" fontId="49" fillId="28" borderId="13"/>
    <xf numFmtId="0" fontId="63" fillId="0" borderId="0"/>
    <xf numFmtId="0" fontId="9" fillId="0" borderId="0">
      <alignment vertical="top"/>
    </xf>
    <xf numFmtId="0" fontId="56" fillId="0" borderId="0"/>
  </cellStyleXfs>
  <cellXfs count="1677">
    <xf numFmtId="0" fontId="0" fillId="0" borderId="0" xfId="0"/>
    <xf numFmtId="0" fontId="0" fillId="30" borderId="0" xfId="0" applyFill="1"/>
    <xf numFmtId="0" fontId="2" fillId="0" borderId="0" xfId="231" applyFont="1" applyFill="1" applyAlignment="1" applyProtection="1">
      <alignment vertical="center"/>
    </xf>
    <xf numFmtId="0" fontId="0" fillId="30" borderId="0" xfId="0" applyFill="1" applyAlignment="1" applyProtection="1">
      <alignment vertical="center"/>
    </xf>
    <xf numFmtId="0" fontId="2" fillId="30" borderId="0" xfId="224" applyFont="1" applyFill="1" applyAlignment="1" applyProtection="1">
      <alignment vertical="center"/>
    </xf>
    <xf numFmtId="0" fontId="2" fillId="30" borderId="0" xfId="231" applyFont="1" applyFill="1" applyAlignment="1" applyProtection="1">
      <alignment vertical="center"/>
    </xf>
    <xf numFmtId="0" fontId="0" fillId="30" borderId="0" xfId="0" applyFill="1" applyAlignment="1">
      <alignment vertical="center"/>
    </xf>
    <xf numFmtId="0" fontId="0" fillId="0" borderId="0" xfId="0" applyAlignment="1">
      <alignment vertical="center"/>
    </xf>
    <xf numFmtId="0" fontId="2" fillId="0" borderId="0" xfId="224" applyFont="1" applyFill="1" applyAlignment="1" applyProtection="1">
      <alignment vertical="center"/>
    </xf>
    <xf numFmtId="0" fontId="3" fillId="0" borderId="0" xfId="224" applyFont="1" applyFill="1" applyAlignment="1" applyProtection="1">
      <alignment vertical="center"/>
    </xf>
    <xf numFmtId="0" fontId="3" fillId="0" borderId="0" xfId="224" applyFont="1" applyFill="1" applyAlignment="1" applyProtection="1">
      <alignment horizontal="center" vertical="center"/>
    </xf>
    <xf numFmtId="0" fontId="4" fillId="0" borderId="0" xfId="224" applyFont="1" applyFill="1" applyAlignment="1" applyProtection="1">
      <alignment vertical="center"/>
    </xf>
    <xf numFmtId="0" fontId="3" fillId="31" borderId="19" xfId="263" applyNumberFormat="1" applyFont="1" applyFill="1" applyBorder="1" applyAlignment="1" applyProtection="1">
      <alignment horizontal="center" vertical="center"/>
      <protection locked="0"/>
    </xf>
    <xf numFmtId="0" fontId="3" fillId="30" borderId="0" xfId="224" applyFont="1" applyFill="1" applyAlignment="1" applyProtection="1">
      <alignment vertical="center"/>
    </xf>
    <xf numFmtId="44" fontId="2" fillId="30" borderId="0" xfId="263" applyFont="1" applyFill="1" applyBorder="1" applyAlignment="1" applyProtection="1">
      <alignment horizontal="center" vertical="center"/>
    </xf>
    <xf numFmtId="0" fontId="3" fillId="30" borderId="0" xfId="220" applyFont="1" applyFill="1" applyAlignment="1" applyProtection="1">
      <alignment vertical="center"/>
    </xf>
    <xf numFmtId="0" fontId="3" fillId="30" borderId="19" xfId="220" applyFont="1" applyFill="1" applyBorder="1" applyAlignment="1" applyProtection="1">
      <alignment vertical="center"/>
    </xf>
    <xf numFmtId="0" fontId="6" fillId="0" borderId="0" xfId="224" applyFont="1" applyFill="1" applyAlignment="1" applyProtection="1">
      <alignment vertical="center"/>
    </xf>
    <xf numFmtId="0" fontId="2" fillId="0" borderId="0" xfId="224" applyFont="1" applyAlignment="1" applyProtection="1">
      <alignment vertical="center"/>
    </xf>
    <xf numFmtId="0" fontId="2" fillId="0" borderId="0" xfId="224" quotePrefix="1" applyFont="1" applyAlignment="1" applyProtection="1">
      <alignment vertical="center"/>
    </xf>
    <xf numFmtId="0" fontId="2" fillId="0" borderId="0" xfId="224" applyNumberFormat="1" applyFont="1" applyAlignment="1" applyProtection="1">
      <alignment vertical="center"/>
    </xf>
    <xf numFmtId="0" fontId="2" fillId="0" borderId="0" xfId="1" applyFont="1" applyAlignment="1" applyProtection="1">
      <alignment vertical="center"/>
    </xf>
    <xf numFmtId="0" fontId="2" fillId="29" borderId="0" xfId="257" applyFont="1" applyFill="1" applyBorder="1" applyAlignment="1" applyProtection="1">
      <alignment vertical="center"/>
    </xf>
    <xf numFmtId="0" fontId="2" fillId="30" borderId="11" xfId="257" applyFont="1" applyFill="1" applyBorder="1" applyAlignment="1" applyProtection="1">
      <alignment horizontal="left" vertical="center" wrapText="1"/>
    </xf>
    <xf numFmtId="0" fontId="2" fillId="30" borderId="0" xfId="224" applyFont="1" applyFill="1" applyBorder="1" applyAlignment="1" applyProtection="1">
      <alignment vertical="center"/>
    </xf>
    <xf numFmtId="0" fontId="2" fillId="30" borderId="0" xfId="257" applyFont="1" applyFill="1" applyBorder="1" applyAlignment="1" applyProtection="1">
      <alignment horizontal="left" vertical="center"/>
    </xf>
    <xf numFmtId="0" fontId="9" fillId="29" borderId="0" xfId="257" applyFont="1" applyFill="1" applyBorder="1" applyAlignment="1" applyProtection="1">
      <alignment vertical="center"/>
    </xf>
    <xf numFmtId="0" fontId="2" fillId="30" borderId="0" xfId="1" applyFont="1" applyFill="1" applyAlignment="1" applyProtection="1">
      <alignment vertical="center"/>
    </xf>
    <xf numFmtId="0" fontId="2" fillId="32" borderId="11" xfId="257" applyFont="1" applyFill="1" applyBorder="1" applyAlignment="1" applyProtection="1">
      <alignment horizontal="left" vertical="center" wrapText="1"/>
    </xf>
    <xf numFmtId="0" fontId="2" fillId="30" borderId="0" xfId="224" applyFont="1" applyFill="1" applyAlignment="1" applyProtection="1">
      <alignment horizontal="left" vertical="center"/>
    </xf>
    <xf numFmtId="0" fontId="2" fillId="30" borderId="0" xfId="224" applyFont="1" applyFill="1" applyAlignment="1" applyProtection="1">
      <alignment vertical="center" wrapText="1"/>
    </xf>
    <xf numFmtId="0" fontId="10" fillId="0" borderId="0" xfId="22" applyAlignment="1" applyProtection="1">
      <alignment vertical="center"/>
    </xf>
    <xf numFmtId="0" fontId="10" fillId="0" borderId="0" xfId="22" applyFill="1" applyAlignment="1" applyProtection="1">
      <alignment vertical="center"/>
    </xf>
    <xf numFmtId="0" fontId="38" fillId="30" borderId="0" xfId="258" applyFont="1" applyFill="1" applyAlignment="1" applyProtection="1">
      <alignment vertical="center" wrapText="1"/>
    </xf>
    <xf numFmtId="0" fontId="2" fillId="30" borderId="0" xfId="224" quotePrefix="1" applyFont="1" applyFill="1" applyAlignment="1" applyProtection="1">
      <alignment vertical="center"/>
    </xf>
    <xf numFmtId="0" fontId="38" fillId="30" borderId="0" xfId="231" applyFont="1" applyFill="1" applyAlignment="1" applyProtection="1">
      <alignment vertical="center"/>
    </xf>
    <xf numFmtId="0" fontId="2" fillId="0" borderId="0" xfId="224" quotePrefix="1" applyFont="1" applyFill="1" applyAlignment="1" applyProtection="1">
      <alignment vertical="center"/>
    </xf>
    <xf numFmtId="0" fontId="64" fillId="0" borderId="0" xfId="22" applyFont="1" applyAlignment="1" applyProtection="1"/>
    <xf numFmtId="0" fontId="64" fillId="0" borderId="0" xfId="22" applyFont="1" applyAlignment="1" applyProtection="1">
      <alignment vertical="center"/>
    </xf>
    <xf numFmtId="0" fontId="35" fillId="30" borderId="0" xfId="231" applyFont="1" applyFill="1" applyAlignment="1" applyProtection="1">
      <alignment vertical="center"/>
    </xf>
    <xf numFmtId="0" fontId="61" fillId="30" borderId="0" xfId="258" applyFont="1" applyFill="1" applyAlignment="1" applyProtection="1">
      <alignment vertical="center"/>
    </xf>
    <xf numFmtId="0" fontId="11" fillId="30" borderId="0" xfId="231" applyFont="1" applyFill="1" applyAlignment="1" applyProtection="1">
      <alignment vertical="center"/>
    </xf>
    <xf numFmtId="0" fontId="42" fillId="30" borderId="0" xfId="258" applyFont="1" applyFill="1" applyAlignment="1" applyProtection="1">
      <alignment vertical="center"/>
    </xf>
    <xf numFmtId="0" fontId="37" fillId="30" borderId="0" xfId="258" applyFont="1" applyFill="1" applyAlignment="1" applyProtection="1">
      <alignment vertical="center"/>
    </xf>
    <xf numFmtId="4" fontId="40" fillId="30" borderId="0" xfId="258" applyNumberFormat="1" applyFont="1" applyFill="1" applyAlignment="1" applyProtection="1">
      <alignment vertical="center"/>
    </xf>
    <xf numFmtId="0" fontId="40" fillId="30" borderId="0" xfId="258" applyFont="1" applyFill="1" applyAlignment="1" applyProtection="1">
      <alignment vertical="center"/>
    </xf>
    <xf numFmtId="0" fontId="2" fillId="0" borderId="0" xfId="231" applyFill="1" applyAlignment="1" applyProtection="1">
      <alignment vertical="center"/>
    </xf>
    <xf numFmtId="0" fontId="36" fillId="0" borderId="0" xfId="231" applyFont="1" applyFill="1" applyAlignment="1" applyProtection="1">
      <alignment vertical="center"/>
    </xf>
    <xf numFmtId="0" fontId="37" fillId="0" borderId="0" xfId="231" applyFont="1" applyFill="1" applyAlignment="1" applyProtection="1">
      <alignment vertical="center"/>
    </xf>
    <xf numFmtId="0" fontId="39" fillId="0" borderId="0" xfId="231" applyFont="1" applyFill="1" applyAlignment="1" applyProtection="1">
      <alignment vertical="center"/>
    </xf>
    <xf numFmtId="0" fontId="11" fillId="0" borderId="0" xfId="231" applyFont="1" applyFill="1" applyAlignment="1" applyProtection="1">
      <alignment vertical="center"/>
    </xf>
    <xf numFmtId="0" fontId="2" fillId="0" borderId="0" xfId="231" applyFill="1" applyAlignment="1" applyProtection="1">
      <alignment horizontal="right" vertical="center"/>
    </xf>
    <xf numFmtId="0" fontId="34" fillId="30" borderId="0" xfId="258" applyFont="1" applyFill="1" applyBorder="1" applyAlignment="1" applyProtection="1">
      <alignment horizontal="center" vertical="center"/>
    </xf>
    <xf numFmtId="0" fontId="35" fillId="30" borderId="0" xfId="231" applyFont="1" applyFill="1" applyAlignment="1" applyProtection="1">
      <alignment horizontal="center" vertical="center"/>
    </xf>
    <xf numFmtId="0" fontId="61" fillId="30" borderId="0" xfId="258" applyFont="1" applyFill="1" applyAlignment="1" applyProtection="1">
      <alignment horizontal="center" vertical="center"/>
    </xf>
    <xf numFmtId="0" fontId="11" fillId="30" borderId="0" xfId="231" applyFont="1" applyFill="1" applyAlignment="1" applyProtection="1">
      <alignment horizontal="center" vertical="center"/>
    </xf>
    <xf numFmtId="0" fontId="0" fillId="30" borderId="0" xfId="0" applyFill="1" applyAlignment="1" applyProtection="1">
      <alignment horizontal="center" vertical="center"/>
    </xf>
    <xf numFmtId="0" fontId="42" fillId="30" borderId="0" xfId="258" applyFont="1" applyFill="1" applyAlignment="1" applyProtection="1">
      <alignment horizontal="center" vertical="center"/>
    </xf>
    <xf numFmtId="0" fontId="37" fillId="30" borderId="0" xfId="258" applyFont="1" applyFill="1" applyAlignment="1" applyProtection="1">
      <alignment horizontal="center" vertical="center"/>
    </xf>
    <xf numFmtId="4" fontId="40" fillId="30" borderId="0" xfId="258" applyNumberFormat="1" applyFont="1" applyFill="1" applyAlignment="1" applyProtection="1">
      <alignment horizontal="center" vertical="center"/>
    </xf>
    <xf numFmtId="0" fontId="0" fillId="30" borderId="0" xfId="0" applyFill="1" applyAlignment="1">
      <alignment horizontal="center" vertical="center"/>
    </xf>
    <xf numFmtId="0" fontId="2" fillId="30" borderId="0" xfId="231" applyFill="1" applyAlignment="1" applyProtection="1">
      <alignment horizontal="center" vertical="center"/>
    </xf>
    <xf numFmtId="0" fontId="62" fillId="30" borderId="0" xfId="0" applyFont="1" applyFill="1" applyAlignment="1">
      <alignment horizontal="center" vertical="center"/>
    </xf>
    <xf numFmtId="0" fontId="34" fillId="30" borderId="0" xfId="258" applyFont="1" applyFill="1" applyBorder="1" applyAlignment="1" applyProtection="1">
      <alignment horizontal="left" vertical="center"/>
    </xf>
    <xf numFmtId="0" fontId="11" fillId="30" borderId="0" xfId="231" applyFont="1" applyFill="1" applyAlignment="1" applyProtection="1">
      <alignment horizontal="left" vertical="center"/>
    </xf>
    <xf numFmtId="0" fontId="62" fillId="30" borderId="0" xfId="0" applyFont="1" applyFill="1" applyAlignment="1">
      <alignment horizontal="left" vertical="center"/>
    </xf>
    <xf numFmtId="0" fontId="37" fillId="30" borderId="0" xfId="258" applyFont="1" applyFill="1" applyBorder="1" applyAlignment="1" applyProtection="1">
      <alignment horizontal="left" vertical="center"/>
    </xf>
    <xf numFmtId="0" fontId="35" fillId="30" borderId="0" xfId="231" applyFont="1" applyFill="1" applyAlignment="1" applyProtection="1">
      <alignment horizontal="left" vertical="center"/>
    </xf>
    <xf numFmtId="4" fontId="40" fillId="30" borderId="0" xfId="258" applyNumberFormat="1" applyFont="1" applyFill="1" applyAlignment="1" applyProtection="1">
      <alignment horizontal="left" vertical="center"/>
    </xf>
    <xf numFmtId="0" fontId="40" fillId="30" borderId="0" xfId="258" applyFont="1" applyFill="1" applyAlignment="1" applyProtection="1">
      <alignment horizontal="left" vertical="center"/>
    </xf>
    <xf numFmtId="0" fontId="0" fillId="30" borderId="0" xfId="0" applyFill="1" applyAlignment="1" applyProtection="1">
      <alignment horizontal="left" vertical="center"/>
    </xf>
    <xf numFmtId="0" fontId="2" fillId="30" borderId="0" xfId="231" applyFill="1" applyAlignment="1" applyProtection="1">
      <alignment horizontal="left" vertical="center"/>
    </xf>
    <xf numFmtId="0" fontId="62" fillId="30" borderId="26" xfId="0" applyFont="1" applyFill="1" applyBorder="1" applyAlignment="1">
      <alignment horizontal="center" vertical="center"/>
    </xf>
    <xf numFmtId="0" fontId="62" fillId="30" borderId="26" xfId="0" applyFont="1" applyFill="1" applyBorder="1" applyAlignment="1">
      <alignment horizontal="left" vertical="center"/>
    </xf>
    <xf numFmtId="0" fontId="0" fillId="30" borderId="25" xfId="0" applyFill="1" applyBorder="1" applyAlignment="1">
      <alignment horizontal="center" vertical="center"/>
    </xf>
    <xf numFmtId="0" fontId="62" fillId="30" borderId="73" xfId="0" applyFont="1" applyFill="1" applyBorder="1" applyAlignment="1">
      <alignment horizontal="center" vertical="center" wrapText="1"/>
    </xf>
    <xf numFmtId="0" fontId="62" fillId="30" borderId="50" xfId="0" applyFont="1" applyFill="1" applyBorder="1" applyAlignment="1">
      <alignment horizontal="center" vertical="center" wrapText="1"/>
    </xf>
    <xf numFmtId="0" fontId="62" fillId="30" borderId="74" xfId="0" applyFont="1" applyFill="1" applyBorder="1" applyAlignment="1">
      <alignment horizontal="center" vertical="center" wrapText="1"/>
    </xf>
    <xf numFmtId="0" fontId="0" fillId="30" borderId="44" xfId="0" applyFill="1" applyBorder="1" applyAlignment="1">
      <alignment horizontal="left" vertical="center"/>
    </xf>
    <xf numFmtId="0" fontId="0" fillId="30" borderId="38" xfId="0" applyFill="1" applyBorder="1" applyAlignment="1">
      <alignment horizontal="left" vertical="center"/>
    </xf>
    <xf numFmtId="0" fontId="0" fillId="30" borderId="75" xfId="0" applyFill="1" applyBorder="1" applyAlignment="1">
      <alignment horizontal="left" vertical="center" wrapText="1"/>
    </xf>
    <xf numFmtId="0" fontId="0" fillId="30" borderId="15" xfId="0" applyFill="1" applyBorder="1" applyAlignment="1">
      <alignment horizontal="left" vertical="center"/>
    </xf>
    <xf numFmtId="0" fontId="0" fillId="30" borderId="14" xfId="0" applyFill="1" applyBorder="1" applyAlignment="1">
      <alignment horizontal="left" vertical="center"/>
    </xf>
    <xf numFmtId="0" fontId="0" fillId="30" borderId="71" xfId="0" applyFill="1" applyBorder="1" applyAlignment="1">
      <alignment horizontal="left" vertical="center" wrapText="1"/>
    </xf>
    <xf numFmtId="0" fontId="0" fillId="30" borderId="76" xfId="0" applyFill="1" applyBorder="1" applyAlignment="1">
      <alignment horizontal="center" vertical="center"/>
    </xf>
    <xf numFmtId="0" fontId="0" fillId="30" borderId="78" xfId="0" applyFill="1" applyBorder="1" applyAlignment="1">
      <alignment horizontal="center" vertical="center"/>
    </xf>
    <xf numFmtId="0" fontId="0" fillId="30" borderId="79" xfId="0" applyFill="1" applyBorder="1" applyAlignment="1">
      <alignment horizontal="center" vertical="center"/>
    </xf>
    <xf numFmtId="0" fontId="0" fillId="30" borderId="80" xfId="0" applyFill="1" applyBorder="1" applyAlignment="1">
      <alignment horizontal="center" vertical="center"/>
    </xf>
    <xf numFmtId="0" fontId="2" fillId="33" borderId="11" xfId="257" applyFont="1" applyFill="1" applyBorder="1" applyAlignment="1" applyProtection="1">
      <alignment vertical="center"/>
    </xf>
    <xf numFmtId="176" fontId="0" fillId="30" borderId="82" xfId="0" applyNumberFormat="1" applyFill="1" applyBorder="1" applyAlignment="1">
      <alignment horizontal="right" vertical="center"/>
    </xf>
    <xf numFmtId="176" fontId="0" fillId="30" borderId="52" xfId="0" applyNumberFormat="1" applyFill="1" applyBorder="1" applyAlignment="1">
      <alignment horizontal="right" vertical="center"/>
    </xf>
    <xf numFmtId="176" fontId="0" fillId="30" borderId="83" xfId="0" applyNumberFormat="1" applyFill="1" applyBorder="1" applyAlignment="1">
      <alignment horizontal="right" vertical="center"/>
    </xf>
    <xf numFmtId="176" fontId="0" fillId="30" borderId="84" xfId="0" applyNumberFormat="1" applyFill="1" applyBorder="1" applyAlignment="1">
      <alignment horizontal="right" vertical="center"/>
    </xf>
    <xf numFmtId="176" fontId="0" fillId="30" borderId="72" xfId="0" applyNumberFormat="1" applyFill="1" applyBorder="1" applyAlignment="1">
      <alignment horizontal="right" vertical="center"/>
    </xf>
    <xf numFmtId="176" fontId="0" fillId="30" borderId="76" xfId="0" applyNumberFormat="1" applyFill="1" applyBorder="1" applyAlignment="1">
      <alignment horizontal="right" vertical="center"/>
    </xf>
    <xf numFmtId="176" fontId="0" fillId="30" borderId="30" xfId="0" applyNumberFormat="1" applyFill="1" applyBorder="1" applyAlignment="1">
      <alignment horizontal="right" vertical="center"/>
    </xf>
    <xf numFmtId="176" fontId="0" fillId="30" borderId="78" xfId="0" applyNumberFormat="1" applyFill="1" applyBorder="1" applyAlignment="1">
      <alignment horizontal="right" vertical="center"/>
    </xf>
    <xf numFmtId="176" fontId="0" fillId="30" borderId="79" xfId="0" applyNumberFormat="1" applyFill="1" applyBorder="1" applyAlignment="1">
      <alignment horizontal="right" vertical="center"/>
    </xf>
    <xf numFmtId="176" fontId="0" fillId="30" borderId="80" xfId="0" applyNumberFormat="1" applyFill="1" applyBorder="1" applyAlignment="1">
      <alignment horizontal="right" vertical="center"/>
    </xf>
    <xf numFmtId="176" fontId="0" fillId="30" borderId="57" xfId="0" applyNumberFormat="1" applyFill="1" applyBorder="1" applyAlignment="1">
      <alignment horizontal="right" vertical="center"/>
    </xf>
    <xf numFmtId="176" fontId="0" fillId="30" borderId="73" xfId="0" applyNumberFormat="1" applyFill="1" applyBorder="1" applyAlignment="1">
      <alignment horizontal="right" vertical="center"/>
    </xf>
    <xf numFmtId="176" fontId="0" fillId="30" borderId="50" xfId="0" applyNumberFormat="1" applyFill="1" applyBorder="1" applyAlignment="1">
      <alignment horizontal="right" vertical="center"/>
    </xf>
    <xf numFmtId="176" fontId="0" fillId="30" borderId="74" xfId="0" applyNumberFormat="1" applyFill="1" applyBorder="1" applyAlignment="1">
      <alignment horizontal="right" vertical="center"/>
    </xf>
    <xf numFmtId="0" fontId="0" fillId="0" borderId="0" xfId="0" applyAlignment="1" applyProtection="1">
      <alignment vertical="center"/>
    </xf>
    <xf numFmtId="0" fontId="59" fillId="0" borderId="49" xfId="0" applyFont="1" applyBorder="1" applyAlignment="1" applyProtection="1">
      <alignment horizontal="center" vertical="center"/>
    </xf>
    <xf numFmtId="0" fontId="0" fillId="0" borderId="78" xfId="0" applyBorder="1" applyAlignment="1" applyProtection="1">
      <alignment horizontal="center" vertical="center"/>
    </xf>
    <xf numFmtId="0" fontId="0" fillId="0" borderId="80" xfId="0" applyBorder="1" applyAlignment="1" applyProtection="1">
      <alignment horizontal="center" vertical="center"/>
    </xf>
    <xf numFmtId="0" fontId="0" fillId="0" borderId="23" xfId="0" applyBorder="1" applyAlignment="1" applyProtection="1">
      <alignment horizontal="center" vertical="center"/>
    </xf>
    <xf numFmtId="0" fontId="0" fillId="0" borderId="44" xfId="0" applyBorder="1" applyAlignment="1" applyProtection="1">
      <alignment vertical="center"/>
    </xf>
    <xf numFmtId="0" fontId="0" fillId="0" borderId="38" xfId="0" applyBorder="1" applyAlignment="1" applyProtection="1">
      <alignment vertical="center"/>
    </xf>
    <xf numFmtId="176" fontId="0" fillId="0" borderId="82" xfId="0" applyNumberFormat="1" applyBorder="1" applyAlignment="1" applyProtection="1">
      <alignment vertical="center"/>
    </xf>
    <xf numFmtId="10" fontId="56" fillId="0" borderId="83" xfId="158" applyNumberFormat="1" applyFont="1" applyBorder="1" applyAlignment="1" applyProtection="1">
      <alignment vertical="center"/>
    </xf>
    <xf numFmtId="176" fontId="0" fillId="0" borderId="53" xfId="0" applyNumberFormat="1" applyBorder="1" applyAlignment="1" applyProtection="1">
      <alignment vertical="center"/>
    </xf>
    <xf numFmtId="0" fontId="0" fillId="0" borderId="15" xfId="0" applyBorder="1" applyAlignment="1" applyProtection="1">
      <alignment vertical="center"/>
    </xf>
    <xf numFmtId="0" fontId="0" fillId="0" borderId="14" xfId="0" applyBorder="1" applyAlignment="1" applyProtection="1">
      <alignment vertical="center"/>
    </xf>
    <xf numFmtId="176" fontId="0" fillId="0" borderId="72" xfId="0" applyNumberFormat="1" applyBorder="1" applyAlignment="1" applyProtection="1">
      <alignment vertical="center"/>
    </xf>
    <xf numFmtId="10" fontId="56" fillId="0" borderId="76" xfId="158" applyNumberFormat="1" applyFont="1" applyBorder="1" applyAlignment="1" applyProtection="1">
      <alignment vertical="center"/>
    </xf>
    <xf numFmtId="176" fontId="0" fillId="0" borderId="31" xfId="0" applyNumberFormat="1" applyBorder="1" applyAlignment="1" applyProtection="1">
      <alignment vertical="center"/>
    </xf>
    <xf numFmtId="0" fontId="0" fillId="0" borderId="70" xfId="0" applyBorder="1" applyAlignment="1" applyProtection="1">
      <alignment vertical="center"/>
    </xf>
    <xf numFmtId="0" fontId="0" fillId="0" borderId="67" xfId="0" applyBorder="1" applyAlignment="1" applyProtection="1">
      <alignment vertical="center"/>
    </xf>
    <xf numFmtId="176" fontId="0" fillId="0" borderId="78" xfId="0" applyNumberFormat="1" applyBorder="1" applyAlignment="1" applyProtection="1">
      <alignment vertical="center"/>
    </xf>
    <xf numFmtId="10" fontId="56" fillId="0" borderId="80" xfId="158" applyNumberFormat="1" applyFont="1" applyBorder="1" applyAlignment="1" applyProtection="1">
      <alignment vertical="center"/>
    </xf>
    <xf numFmtId="176" fontId="0" fillId="0" borderId="35" xfId="0" applyNumberFormat="1" applyBorder="1" applyAlignment="1" applyProtection="1">
      <alignment vertical="center"/>
    </xf>
    <xf numFmtId="0" fontId="59" fillId="0" borderId="25" xfId="0" applyFont="1" applyBorder="1" applyAlignment="1" applyProtection="1">
      <alignment vertical="center"/>
    </xf>
    <xf numFmtId="0" fontId="59" fillId="0" borderId="26" xfId="0" applyFont="1" applyBorder="1" applyAlignment="1" applyProtection="1">
      <alignment vertical="center"/>
    </xf>
    <xf numFmtId="176" fontId="59" fillId="0" borderId="73" xfId="0" applyNumberFormat="1" applyFont="1" applyBorder="1" applyAlignment="1" applyProtection="1">
      <alignment vertical="center"/>
    </xf>
    <xf numFmtId="10" fontId="59" fillId="0" borderId="74" xfId="158" applyNumberFormat="1" applyFont="1" applyBorder="1" applyAlignment="1" applyProtection="1">
      <alignment vertical="center"/>
    </xf>
    <xf numFmtId="176" fontId="59" fillId="0" borderId="20" xfId="0" applyNumberFormat="1" applyFont="1" applyBorder="1" applyAlignment="1" applyProtection="1">
      <alignment vertical="center"/>
    </xf>
    <xf numFmtId="4" fontId="0" fillId="30" borderId="76" xfId="0" applyNumberFormat="1" applyFill="1" applyBorder="1" applyAlignment="1">
      <alignment horizontal="right" vertical="center"/>
    </xf>
    <xf numFmtId="0" fontId="42" fillId="30" borderId="0" xfId="258" applyFont="1" applyFill="1" applyAlignment="1" applyProtection="1">
      <alignment horizontal="left" vertical="center"/>
    </xf>
    <xf numFmtId="0" fontId="0" fillId="30" borderId="22" xfId="0" applyFill="1" applyBorder="1" applyAlignment="1">
      <alignment horizontal="center" vertical="center"/>
    </xf>
    <xf numFmtId="0" fontId="0" fillId="30" borderId="38" xfId="0" applyFill="1" applyBorder="1" applyAlignment="1">
      <alignment vertical="center"/>
    </xf>
    <xf numFmtId="0" fontId="0" fillId="30" borderId="14" xfId="0" applyFill="1" applyBorder="1"/>
    <xf numFmtId="0" fontId="0" fillId="30" borderId="33" xfId="0" applyFill="1" applyBorder="1"/>
    <xf numFmtId="0" fontId="42" fillId="30" borderId="0" xfId="258" applyFont="1" applyFill="1" applyBorder="1" applyAlignment="1" applyProtection="1">
      <alignment horizontal="center" vertical="center"/>
    </xf>
    <xf numFmtId="0" fontId="2" fillId="35" borderId="11" xfId="257" applyFont="1" applyFill="1" applyBorder="1" applyAlignment="1" applyProtection="1">
      <alignment vertical="center"/>
    </xf>
    <xf numFmtId="0" fontId="0" fillId="30" borderId="0" xfId="0" applyFill="1" applyAlignment="1">
      <alignment horizontal="center"/>
    </xf>
    <xf numFmtId="0" fontId="65" fillId="30" borderId="109" xfId="0" applyFont="1" applyFill="1" applyBorder="1" applyAlignment="1">
      <alignment horizontal="center" vertical="center"/>
    </xf>
    <xf numFmtId="0" fontId="65" fillId="30" borderId="119" xfId="0" applyFont="1" applyFill="1" applyBorder="1" applyAlignment="1">
      <alignment horizontal="center" vertical="center"/>
    </xf>
    <xf numFmtId="0" fontId="65" fillId="30" borderId="121" xfId="0" applyFont="1" applyFill="1" applyBorder="1" applyAlignment="1">
      <alignment horizontal="center" vertical="center"/>
    </xf>
    <xf numFmtId="0" fontId="65" fillId="30" borderId="122" xfId="0" applyFont="1" applyFill="1" applyBorder="1" applyAlignment="1">
      <alignment horizontal="center" vertical="center"/>
    </xf>
    <xf numFmtId="0" fontId="65" fillId="30" borderId="114" xfId="0" applyFont="1" applyFill="1" applyBorder="1" applyAlignment="1">
      <alignment horizontal="left" vertical="center"/>
    </xf>
    <xf numFmtId="0" fontId="65" fillId="30" borderId="125" xfId="0" applyFont="1" applyFill="1" applyBorder="1" applyAlignment="1">
      <alignment horizontal="left" vertical="center"/>
    </xf>
    <xf numFmtId="0" fontId="65" fillId="30" borderId="125" xfId="0" applyFont="1" applyFill="1" applyBorder="1" applyAlignment="1">
      <alignment horizontal="left" vertical="center" wrapText="1"/>
    </xf>
    <xf numFmtId="0" fontId="62" fillId="30" borderId="60" xfId="0" applyFont="1" applyFill="1" applyBorder="1" applyAlignment="1">
      <alignment horizontal="center" vertical="center" wrapText="1"/>
    </xf>
    <xf numFmtId="0" fontId="62" fillId="30" borderId="91" xfId="0" applyFont="1" applyFill="1" applyBorder="1" applyAlignment="1">
      <alignment horizontal="center" vertical="center" wrapText="1"/>
    </xf>
    <xf numFmtId="0" fontId="62" fillId="30" borderId="90" xfId="0" applyFont="1" applyFill="1" applyBorder="1" applyAlignment="1">
      <alignment horizontal="center" vertical="center" wrapText="1"/>
    </xf>
    <xf numFmtId="0" fontId="62" fillId="30" borderId="22" xfId="0" applyFont="1" applyFill="1" applyBorder="1" applyAlignment="1">
      <alignment horizontal="center" vertical="center" wrapText="1"/>
    </xf>
    <xf numFmtId="0" fontId="0" fillId="30" borderId="38" xfId="0" applyFill="1" applyBorder="1"/>
    <xf numFmtId="0" fontId="0" fillId="30" borderId="84" xfId="0" applyFill="1" applyBorder="1"/>
    <xf numFmtId="0" fontId="0" fillId="30" borderId="30" xfId="0" applyFill="1" applyBorder="1"/>
    <xf numFmtId="0" fontId="0" fillId="30" borderId="89" xfId="0" applyFill="1" applyBorder="1"/>
    <xf numFmtId="0" fontId="0" fillId="30" borderId="44" xfId="0" applyFill="1" applyBorder="1"/>
    <xf numFmtId="0" fontId="0" fillId="30" borderId="15" xfId="0" applyFill="1" applyBorder="1"/>
    <xf numFmtId="0" fontId="0" fillId="30" borderId="32" xfId="0" applyFill="1" applyBorder="1"/>
    <xf numFmtId="0" fontId="62" fillId="30" borderId="90" xfId="0" applyFont="1" applyFill="1" applyBorder="1" applyAlignment="1">
      <alignment horizontal="center" vertical="center"/>
    </xf>
    <xf numFmtId="0" fontId="62" fillId="30" borderId="87" xfId="0" applyFont="1" applyFill="1" applyBorder="1" applyAlignment="1">
      <alignment horizontal="center" vertical="center" wrapText="1"/>
    </xf>
    <xf numFmtId="4" fontId="0" fillId="30" borderId="19" xfId="0" applyNumberFormat="1" applyFill="1" applyBorder="1"/>
    <xf numFmtId="0" fontId="0" fillId="30" borderId="95" xfId="0" applyFill="1" applyBorder="1"/>
    <xf numFmtId="0" fontId="0" fillId="30" borderId="96" xfId="0" applyFill="1" applyBorder="1"/>
    <xf numFmtId="0" fontId="0" fillId="30" borderId="97" xfId="0" applyFill="1" applyBorder="1"/>
    <xf numFmtId="0" fontId="0" fillId="30" borderId="0" xfId="0" applyFill="1" applyBorder="1"/>
    <xf numFmtId="0" fontId="0" fillId="30" borderId="46" xfId="0" applyFill="1" applyBorder="1"/>
    <xf numFmtId="0" fontId="0" fillId="30" borderId="0" xfId="0" applyFill="1" applyBorder="1" applyAlignment="1">
      <alignment horizontal="right"/>
    </xf>
    <xf numFmtId="4" fontId="0" fillId="30" borderId="0" xfId="0" applyNumberFormat="1" applyFill="1" applyBorder="1"/>
    <xf numFmtId="0" fontId="0" fillId="30" borderId="98" xfId="0" applyFill="1" applyBorder="1"/>
    <xf numFmtId="0" fontId="0" fillId="30" borderId="28" xfId="0" applyFill="1" applyBorder="1"/>
    <xf numFmtId="0" fontId="0" fillId="30" borderId="51" xfId="0" applyFill="1" applyBorder="1"/>
    <xf numFmtId="0" fontId="42" fillId="30" borderId="0" xfId="258" applyFont="1" applyFill="1" applyBorder="1" applyAlignment="1" applyProtection="1">
      <alignment vertical="center"/>
    </xf>
    <xf numFmtId="0" fontId="0" fillId="30" borderId="25" xfId="0" applyFill="1" applyBorder="1"/>
    <xf numFmtId="0" fontId="0" fillId="30" borderId="78" xfId="0" applyFill="1" applyBorder="1" applyAlignment="1">
      <alignment horizontal="center"/>
    </xf>
    <xf numFmtId="0" fontId="0" fillId="30" borderId="80" xfId="0" applyFill="1" applyBorder="1" applyAlignment="1">
      <alignment horizontal="center"/>
    </xf>
    <xf numFmtId="176" fontId="0" fillId="30" borderId="82" xfId="0" applyNumberFormat="1" applyFill="1" applyBorder="1"/>
    <xf numFmtId="0" fontId="0" fillId="30" borderId="15" xfId="0" applyFill="1" applyBorder="1" applyAlignment="1"/>
    <xf numFmtId="176" fontId="0" fillId="30" borderId="72" xfId="0" applyNumberFormat="1" applyFill="1" applyBorder="1"/>
    <xf numFmtId="176" fontId="0" fillId="30" borderId="76" xfId="0" applyNumberFormat="1" applyFill="1" applyBorder="1"/>
    <xf numFmtId="176" fontId="0" fillId="30" borderId="92" xfId="0" applyNumberFormat="1" applyFill="1" applyBorder="1"/>
    <xf numFmtId="0" fontId="0" fillId="30" borderId="27" xfId="0" applyFill="1" applyBorder="1"/>
    <xf numFmtId="0" fontId="0" fillId="30" borderId="21" xfId="0" applyFill="1" applyBorder="1" applyAlignment="1">
      <alignment vertical="center" wrapText="1"/>
    </xf>
    <xf numFmtId="0" fontId="0" fillId="30" borderId="82" xfId="0" applyFill="1" applyBorder="1" applyAlignment="1">
      <alignment horizontal="left" vertical="center"/>
    </xf>
    <xf numFmtId="0" fontId="0" fillId="30" borderId="52" xfId="0" applyFill="1" applyBorder="1" applyAlignment="1">
      <alignment horizontal="left" vertical="center"/>
    </xf>
    <xf numFmtId="0" fontId="0" fillId="30" borderId="72" xfId="0" applyFill="1" applyBorder="1" applyAlignment="1">
      <alignment horizontal="left" vertical="center"/>
    </xf>
    <xf numFmtId="0" fontId="0" fillId="30" borderId="48" xfId="0" applyFill="1" applyBorder="1" applyAlignment="1">
      <alignment horizontal="left" vertical="center"/>
    </xf>
    <xf numFmtId="0" fontId="0" fillId="30" borderId="73" xfId="0" applyFill="1" applyBorder="1" applyAlignment="1">
      <alignment horizontal="center" vertical="center"/>
    </xf>
    <xf numFmtId="0" fontId="0" fillId="30" borderId="74" xfId="0" applyFill="1" applyBorder="1" applyAlignment="1">
      <alignment horizontal="center" vertical="center"/>
    </xf>
    <xf numFmtId="3" fontId="0" fillId="30" borderId="73" xfId="0" applyNumberFormat="1" applyFill="1" applyBorder="1" applyAlignment="1">
      <alignment horizontal="center" vertical="center"/>
    </xf>
    <xf numFmtId="3" fontId="0" fillId="30" borderId="50" xfId="0" applyNumberFormat="1" applyFill="1" applyBorder="1" applyAlignment="1">
      <alignment horizontal="center" vertical="center"/>
    </xf>
    <xf numFmtId="3" fontId="0" fillId="30" borderId="58" xfId="0" applyNumberFormat="1" applyFill="1" applyBorder="1" applyAlignment="1">
      <alignment horizontal="center" vertical="center"/>
    </xf>
    <xf numFmtId="0" fontId="0" fillId="30" borderId="34" xfId="0" applyFill="1" applyBorder="1" applyAlignment="1">
      <alignment horizontal="center" vertical="center"/>
    </xf>
    <xf numFmtId="0" fontId="0" fillId="30" borderId="69" xfId="0" applyFill="1" applyBorder="1" applyAlignment="1">
      <alignment horizontal="center" vertical="center"/>
    </xf>
    <xf numFmtId="0" fontId="0" fillId="30" borderId="83" xfId="0" applyFill="1" applyBorder="1" applyAlignment="1">
      <alignment horizontal="center" vertical="center"/>
    </xf>
    <xf numFmtId="3" fontId="0" fillId="30" borderId="82" xfId="0" applyNumberFormat="1" applyFill="1" applyBorder="1" applyAlignment="1">
      <alignment horizontal="right" vertical="center"/>
    </xf>
    <xf numFmtId="3" fontId="0" fillId="30" borderId="52" xfId="0" applyNumberFormat="1" applyFill="1" applyBorder="1" applyAlignment="1">
      <alignment horizontal="right" vertical="center"/>
    </xf>
    <xf numFmtId="3" fontId="0" fillId="30" borderId="68" xfId="0" applyNumberFormat="1" applyFill="1" applyBorder="1" applyAlignment="1">
      <alignment horizontal="right" vertical="center"/>
    </xf>
    <xf numFmtId="176" fontId="0" fillId="30" borderId="68" xfId="0" applyNumberFormat="1" applyFill="1" applyBorder="1" applyAlignment="1">
      <alignment horizontal="right" vertical="center"/>
    </xf>
    <xf numFmtId="176" fontId="0" fillId="30" borderId="39" xfId="0" applyNumberFormat="1" applyFill="1" applyBorder="1" applyAlignment="1">
      <alignment horizontal="right" vertical="center"/>
    </xf>
    <xf numFmtId="176" fontId="0" fillId="30" borderId="55" xfId="0" applyNumberFormat="1" applyFill="1" applyBorder="1" applyAlignment="1">
      <alignment horizontal="right" vertical="center"/>
    </xf>
    <xf numFmtId="3" fontId="0" fillId="30" borderId="78" xfId="0" applyNumberFormat="1" applyFill="1" applyBorder="1" applyAlignment="1">
      <alignment horizontal="right" vertical="center"/>
    </xf>
    <xf numFmtId="3" fontId="0" fillId="30" borderId="79" xfId="0" applyNumberFormat="1" applyFill="1" applyBorder="1" applyAlignment="1">
      <alignment horizontal="right" vertical="center"/>
    </xf>
    <xf numFmtId="3" fontId="0" fillId="30" borderId="69" xfId="0" applyNumberFormat="1" applyFill="1" applyBorder="1" applyAlignment="1">
      <alignment horizontal="right" vertical="center"/>
    </xf>
    <xf numFmtId="176" fontId="0" fillId="30" borderId="34" xfId="0" applyNumberFormat="1" applyFill="1" applyBorder="1" applyAlignment="1">
      <alignment horizontal="right" vertical="center"/>
    </xf>
    <xf numFmtId="176" fontId="0" fillId="30" borderId="86" xfId="0" applyNumberFormat="1" applyFill="1" applyBorder="1" applyAlignment="1">
      <alignment horizontal="right" vertical="center"/>
    </xf>
    <xf numFmtId="176" fontId="0" fillId="30" borderId="69" xfId="0" applyNumberFormat="1" applyFill="1" applyBorder="1" applyAlignment="1">
      <alignment horizontal="right" vertical="center"/>
    </xf>
    <xf numFmtId="3" fontId="0" fillId="30" borderId="58" xfId="0" applyNumberFormat="1" applyFill="1" applyBorder="1" applyAlignment="1">
      <alignment horizontal="right" vertical="center"/>
    </xf>
    <xf numFmtId="176" fontId="0" fillId="30" borderId="47" xfId="0" applyNumberFormat="1" applyFill="1" applyBorder="1" applyAlignment="1">
      <alignment horizontal="right" vertical="center"/>
    </xf>
    <xf numFmtId="176" fontId="0" fillId="30" borderId="58" xfId="0" applyNumberFormat="1" applyFill="1" applyBorder="1" applyAlignment="1">
      <alignment horizontal="right" vertical="center"/>
    </xf>
    <xf numFmtId="0" fontId="0" fillId="32" borderId="87" xfId="0" applyFill="1" applyBorder="1" applyAlignment="1">
      <alignment horizontal="left" vertical="center"/>
    </xf>
    <xf numFmtId="0" fontId="0" fillId="32" borderId="60" xfId="0" applyFill="1" applyBorder="1" applyAlignment="1">
      <alignment horizontal="left" vertical="center"/>
    </xf>
    <xf numFmtId="0" fontId="0" fillId="32" borderId="78" xfId="0" applyFill="1" applyBorder="1" applyAlignment="1">
      <alignment horizontal="left" vertical="center"/>
    </xf>
    <xf numFmtId="0" fontId="0" fillId="32" borderId="69" xfId="0" applyFill="1" applyBorder="1" applyAlignment="1">
      <alignment horizontal="left" vertical="center"/>
    </xf>
    <xf numFmtId="0" fontId="0" fillId="30" borderId="83" xfId="0" applyFill="1" applyBorder="1" applyAlignment="1">
      <alignment horizontal="left" vertical="center"/>
    </xf>
    <xf numFmtId="0" fontId="0" fillId="30" borderId="76" xfId="0" applyFill="1" applyBorder="1" applyAlignment="1">
      <alignment horizontal="left" vertical="center"/>
    </xf>
    <xf numFmtId="0" fontId="0" fillId="30" borderId="85" xfId="0" applyFill="1" applyBorder="1" applyAlignment="1">
      <alignment horizontal="left" vertical="center"/>
    </xf>
    <xf numFmtId="0" fontId="0" fillId="30" borderId="80" xfId="0" applyFill="1" applyBorder="1" applyAlignment="1">
      <alignment horizontal="left" vertical="center"/>
    </xf>
    <xf numFmtId="176" fontId="0" fillId="30" borderId="36" xfId="0" applyNumberFormat="1" applyFill="1" applyBorder="1" applyAlignment="1">
      <alignment horizontal="right" vertical="center"/>
    </xf>
    <xf numFmtId="176" fontId="0" fillId="30" borderId="81" xfId="0" applyNumberFormat="1" applyFill="1" applyBorder="1" applyAlignment="1">
      <alignment horizontal="right" vertical="center"/>
    </xf>
    <xf numFmtId="3" fontId="0" fillId="30" borderId="73" xfId="0" applyNumberFormat="1" applyFill="1" applyBorder="1" applyAlignment="1">
      <alignment horizontal="right" vertical="center"/>
    </xf>
    <xf numFmtId="3" fontId="0" fillId="30" borderId="50" xfId="0" applyNumberFormat="1" applyFill="1" applyBorder="1" applyAlignment="1">
      <alignment horizontal="right" vertical="center"/>
    </xf>
    <xf numFmtId="0" fontId="0" fillId="30" borderId="67" xfId="0" applyFill="1" applyBorder="1" applyAlignment="1">
      <alignment horizontal="center" vertical="center"/>
    </xf>
    <xf numFmtId="0" fontId="0" fillId="30" borderId="70" xfId="0" applyFill="1" applyBorder="1" applyAlignment="1">
      <alignment vertical="center"/>
    </xf>
    <xf numFmtId="0" fontId="0" fillId="30" borderId="77" xfId="0" applyFill="1" applyBorder="1" applyAlignment="1">
      <alignment vertical="center"/>
    </xf>
    <xf numFmtId="0" fontId="0" fillId="30" borderId="44" xfId="0" applyFill="1" applyBorder="1" applyAlignment="1">
      <alignment vertical="center"/>
    </xf>
    <xf numFmtId="0" fontId="0" fillId="30" borderId="75" xfId="0" applyFill="1" applyBorder="1" applyAlignment="1">
      <alignment vertical="center"/>
    </xf>
    <xf numFmtId="0" fontId="41" fillId="0" borderId="0" xfId="224" applyFont="1" applyAlignment="1" applyProtection="1">
      <alignment vertical="center"/>
    </xf>
    <xf numFmtId="0" fontId="0" fillId="30" borderId="92" xfId="0" applyFill="1" applyBorder="1" applyAlignment="1">
      <alignment horizontal="center" vertical="center"/>
    </xf>
    <xf numFmtId="0" fontId="0" fillId="30" borderId="88" xfId="0" applyFill="1" applyBorder="1" applyAlignment="1">
      <alignment horizontal="center" vertical="center"/>
    </xf>
    <xf numFmtId="0" fontId="0" fillId="30" borderId="82" xfId="0" applyFill="1" applyBorder="1" applyAlignment="1">
      <alignment horizontal="center" vertical="center"/>
    </xf>
    <xf numFmtId="0" fontId="0" fillId="30" borderId="72" xfId="0" applyFill="1" applyBorder="1" applyAlignment="1">
      <alignment horizontal="center" vertical="center"/>
    </xf>
    <xf numFmtId="0" fontId="0" fillId="30" borderId="48" xfId="0" applyFill="1" applyBorder="1" applyAlignment="1">
      <alignment horizontal="center" vertical="center"/>
    </xf>
    <xf numFmtId="0" fontId="70" fillId="30" borderId="0" xfId="0" applyFont="1" applyFill="1" applyAlignment="1">
      <alignment horizontal="left" vertical="center"/>
    </xf>
    <xf numFmtId="0" fontId="0" fillId="30" borderId="78" xfId="0" applyFill="1" applyBorder="1" applyAlignment="1">
      <alignment horizontal="center" vertical="center" wrapText="1"/>
    </xf>
    <xf numFmtId="0" fontId="0" fillId="30" borderId="80" xfId="0" applyFill="1" applyBorder="1" applyAlignment="1">
      <alignment horizontal="center" vertical="center" wrapText="1"/>
    </xf>
    <xf numFmtId="4" fontId="0" fillId="30" borderId="82" xfId="0" applyNumberFormat="1" applyFill="1" applyBorder="1" applyAlignment="1">
      <alignment horizontal="right" vertical="center"/>
    </xf>
    <xf numFmtId="4" fontId="0" fillId="30" borderId="52" xfId="0" applyNumberFormat="1" applyFill="1" applyBorder="1" applyAlignment="1">
      <alignment horizontal="right" vertical="center"/>
    </xf>
    <xf numFmtId="4" fontId="0" fillId="30" borderId="83" xfId="0" applyNumberFormat="1" applyFill="1" applyBorder="1" applyAlignment="1">
      <alignment horizontal="right" vertical="center"/>
    </xf>
    <xf numFmtId="4" fontId="0" fillId="30" borderId="72" xfId="0" applyNumberFormat="1" applyFill="1" applyBorder="1" applyAlignment="1">
      <alignment horizontal="right" vertical="center"/>
    </xf>
    <xf numFmtId="4" fontId="0" fillId="30" borderId="48" xfId="0" applyNumberFormat="1" applyFill="1" applyBorder="1" applyAlignment="1">
      <alignment horizontal="right" vertical="center"/>
    </xf>
    <xf numFmtId="0" fontId="62" fillId="30" borderId="127" xfId="0" applyFont="1" applyFill="1" applyBorder="1" applyAlignment="1">
      <alignment horizontal="center" vertical="center" wrapText="1"/>
    </xf>
    <xf numFmtId="0" fontId="0" fillId="30" borderId="50" xfId="0" applyFill="1" applyBorder="1" applyAlignment="1">
      <alignment horizontal="left" vertical="center"/>
    </xf>
    <xf numFmtId="0" fontId="65" fillId="30" borderId="129" xfId="0" applyFont="1" applyFill="1" applyBorder="1" applyAlignment="1">
      <alignment horizontal="center" vertical="center"/>
    </xf>
    <xf numFmtId="0" fontId="65" fillId="30" borderId="111" xfId="0" applyFont="1" applyFill="1" applyBorder="1" applyAlignment="1">
      <alignment horizontal="center" vertical="center"/>
    </xf>
    <xf numFmtId="0" fontId="65" fillId="30" borderId="131" xfId="0" applyFont="1" applyFill="1" applyBorder="1" applyAlignment="1">
      <alignment horizontal="center" vertical="center"/>
    </xf>
    <xf numFmtId="0" fontId="65" fillId="30" borderId="132" xfId="0" applyFont="1" applyFill="1" applyBorder="1" applyAlignment="1">
      <alignment horizontal="center" vertical="center"/>
    </xf>
    <xf numFmtId="0" fontId="65" fillId="30" borderId="133" xfId="0" applyFont="1" applyFill="1" applyBorder="1" applyAlignment="1">
      <alignment horizontal="left" vertical="center"/>
    </xf>
    <xf numFmtId="0" fontId="65" fillId="30" borderId="116" xfId="0" applyFont="1" applyFill="1" applyBorder="1" applyAlignment="1">
      <alignment horizontal="left" vertical="center"/>
    </xf>
    <xf numFmtId="0" fontId="62" fillId="30" borderId="128" xfId="0" applyFont="1" applyFill="1" applyBorder="1" applyAlignment="1">
      <alignment horizontal="center" vertical="center"/>
    </xf>
    <xf numFmtId="0" fontId="0" fillId="30" borderId="52" xfId="0" applyFill="1" applyBorder="1" applyAlignment="1">
      <alignment horizontal="center" vertical="center"/>
    </xf>
    <xf numFmtId="10" fontId="0" fillId="30" borderId="82" xfId="0" applyNumberFormat="1" applyFill="1" applyBorder="1" applyAlignment="1">
      <alignment horizontal="right" vertical="center"/>
    </xf>
    <xf numFmtId="10" fontId="0" fillId="30" borderId="72" xfId="0" applyNumberFormat="1" applyFill="1" applyBorder="1" applyAlignment="1">
      <alignment horizontal="right" vertical="center"/>
    </xf>
    <xf numFmtId="10" fontId="0" fillId="30" borderId="92" xfId="0" applyNumberFormat="1" applyFill="1" applyBorder="1" applyAlignment="1">
      <alignment horizontal="right" vertical="center"/>
    </xf>
    <xf numFmtId="10" fontId="0" fillId="30" borderId="52" xfId="0" applyNumberFormat="1" applyFill="1" applyBorder="1" applyAlignment="1">
      <alignment horizontal="right" vertical="center"/>
    </xf>
    <xf numFmtId="10" fontId="0" fillId="30" borderId="48" xfId="0" applyNumberFormat="1" applyFill="1" applyBorder="1" applyAlignment="1">
      <alignment horizontal="right" vertical="center"/>
    </xf>
    <xf numFmtId="0" fontId="0" fillId="0" borderId="0" xfId="0" applyFill="1" applyAlignment="1">
      <alignment horizontal="center" vertical="center"/>
    </xf>
    <xf numFmtId="0" fontId="34" fillId="30" borderId="16" xfId="258" applyFont="1" applyFill="1" applyBorder="1" applyAlignment="1" applyProtection="1">
      <alignment vertical="center"/>
    </xf>
    <xf numFmtId="0" fontId="0" fillId="30" borderId="22" xfId="0" applyFill="1" applyBorder="1" applyAlignment="1">
      <alignment horizontal="center" vertical="center"/>
    </xf>
    <xf numFmtId="0" fontId="0" fillId="30" borderId="22" xfId="0" applyFill="1" applyBorder="1" applyAlignment="1">
      <alignment horizontal="center" vertical="center"/>
    </xf>
    <xf numFmtId="0" fontId="0" fillId="30" borderId="135" xfId="0" applyFill="1" applyBorder="1" applyAlignment="1">
      <alignment horizontal="center" vertical="center"/>
    </xf>
    <xf numFmtId="0" fontId="0" fillId="30" borderId="136" xfId="0" applyFill="1" applyBorder="1" applyAlignment="1">
      <alignment horizontal="left" vertical="center"/>
    </xf>
    <xf numFmtId="0" fontId="59" fillId="30" borderId="137" xfId="0" applyFont="1" applyFill="1" applyBorder="1" applyAlignment="1">
      <alignment horizontal="left" vertical="center"/>
    </xf>
    <xf numFmtId="0" fontId="0" fillId="30" borderId="72" xfId="0" applyNumberFormat="1" applyFill="1" applyBorder="1" applyAlignment="1">
      <alignment horizontal="right" vertical="center"/>
    </xf>
    <xf numFmtId="0" fontId="70" fillId="30" borderId="0" xfId="0" applyFont="1" applyFill="1"/>
    <xf numFmtId="176" fontId="0" fillId="30" borderId="84" xfId="0" applyNumberFormat="1" applyFill="1" applyBorder="1"/>
    <xf numFmtId="176" fontId="0" fillId="30" borderId="52" xfId="0" applyNumberFormat="1" applyFill="1" applyBorder="1"/>
    <xf numFmtId="176" fontId="0" fillId="30" borderId="81" xfId="0" applyNumberFormat="1" applyFill="1" applyBorder="1"/>
    <xf numFmtId="176" fontId="0" fillId="30" borderId="30" xfId="0" applyNumberFormat="1" applyFill="1" applyBorder="1"/>
    <xf numFmtId="176" fontId="0" fillId="30" borderId="48" xfId="0" applyNumberFormat="1" applyFill="1" applyBorder="1"/>
    <xf numFmtId="176" fontId="0" fillId="32" borderId="85" xfId="0" applyNumberFormat="1" applyFill="1" applyBorder="1"/>
    <xf numFmtId="176" fontId="0" fillId="30" borderId="85" xfId="0" applyNumberFormat="1" applyFill="1" applyBorder="1"/>
    <xf numFmtId="176" fontId="0" fillId="30" borderId="89" xfId="0" applyNumberFormat="1" applyFill="1" applyBorder="1"/>
    <xf numFmtId="176" fontId="0" fillId="30" borderId="54" xfId="0" applyNumberFormat="1" applyFill="1" applyBorder="1"/>
    <xf numFmtId="176" fontId="0" fillId="30" borderId="95" xfId="0" applyNumberFormat="1" applyFill="1" applyBorder="1"/>
    <xf numFmtId="0" fontId="62" fillId="30" borderId="61" xfId="0" applyFont="1" applyFill="1" applyBorder="1" applyAlignment="1">
      <alignment horizontal="center" vertical="center" wrapText="1"/>
    </xf>
    <xf numFmtId="0" fontId="62" fillId="30" borderId="103" xfId="0" applyFont="1" applyFill="1" applyBorder="1" applyAlignment="1">
      <alignment horizontal="center" vertical="center" wrapText="1"/>
    </xf>
    <xf numFmtId="0" fontId="62" fillId="30" borderId="59" xfId="0" applyFont="1" applyFill="1" applyBorder="1" applyAlignment="1">
      <alignment horizontal="center" vertical="center" wrapText="1"/>
    </xf>
    <xf numFmtId="176" fontId="0" fillId="32" borderId="95" xfId="0" applyNumberFormat="1" applyFill="1" applyBorder="1"/>
    <xf numFmtId="0" fontId="0" fillId="30" borderId="141" xfId="0" applyFill="1" applyBorder="1"/>
    <xf numFmtId="176" fontId="0" fillId="30" borderId="148" xfId="0" applyNumberFormat="1" applyFill="1" applyBorder="1"/>
    <xf numFmtId="176" fontId="0" fillId="30" borderId="149" xfId="0" applyNumberFormat="1" applyFill="1" applyBorder="1"/>
    <xf numFmtId="176" fontId="0" fillId="30" borderId="150" xfId="0" applyNumberFormat="1" applyFill="1" applyBorder="1"/>
    <xf numFmtId="176" fontId="0" fillId="30" borderId="151" xfId="0" applyNumberFormat="1" applyFill="1" applyBorder="1"/>
    <xf numFmtId="0" fontId="62" fillId="30" borderId="138" xfId="0" applyFont="1" applyFill="1" applyBorder="1" applyAlignment="1">
      <alignment horizontal="center" vertical="center" wrapText="1"/>
    </xf>
    <xf numFmtId="0" fontId="0" fillId="30" borderId="140" xfId="0" applyFill="1" applyBorder="1" applyAlignment="1">
      <alignment horizontal="left" vertical="center"/>
    </xf>
    <xf numFmtId="0" fontId="0" fillId="30" borderId="141" xfId="0" applyFill="1" applyBorder="1" applyAlignment="1">
      <alignment horizontal="left" vertical="center"/>
    </xf>
    <xf numFmtId="10" fontId="0" fillId="30" borderId="68" xfId="0" applyNumberFormat="1" applyFill="1" applyBorder="1" applyAlignment="1">
      <alignment horizontal="right" vertical="center"/>
    </xf>
    <xf numFmtId="10" fontId="0" fillId="30" borderId="55" xfId="0" applyNumberFormat="1" applyFill="1" applyBorder="1" applyAlignment="1">
      <alignment horizontal="right" vertical="center"/>
    </xf>
    <xf numFmtId="10" fontId="0" fillId="30" borderId="105" xfId="0" applyNumberFormat="1" applyFill="1" applyBorder="1" applyAlignment="1">
      <alignment horizontal="right" vertical="center"/>
    </xf>
    <xf numFmtId="0" fontId="0" fillId="30" borderId="39" xfId="0" applyFill="1" applyBorder="1" applyAlignment="1">
      <alignment horizontal="left" vertical="center"/>
    </xf>
    <xf numFmtId="0" fontId="0" fillId="30" borderId="153" xfId="0" applyFill="1" applyBorder="1" applyAlignment="1">
      <alignment horizontal="left" vertical="center"/>
    </xf>
    <xf numFmtId="0" fontId="62" fillId="0" borderId="36" xfId="0" applyFont="1" applyFill="1" applyBorder="1" applyAlignment="1">
      <alignment horizontal="left" vertical="center"/>
    </xf>
    <xf numFmtId="0" fontId="62" fillId="0" borderId="83" xfId="0" applyFont="1" applyFill="1" applyBorder="1" applyAlignment="1">
      <alignment horizontal="center" vertical="center"/>
    </xf>
    <xf numFmtId="0" fontId="0" fillId="30" borderId="36" xfId="0" applyFill="1" applyBorder="1" applyAlignment="1">
      <alignment horizontal="left" vertical="center"/>
    </xf>
    <xf numFmtId="4" fontId="0" fillId="30" borderId="92" xfId="0" applyNumberFormat="1" applyFill="1" applyBorder="1" applyAlignment="1">
      <alignment horizontal="right" vertical="center"/>
    </xf>
    <xf numFmtId="4" fontId="0" fillId="30" borderId="88" xfId="0" applyNumberFormat="1" applyFill="1" applyBorder="1" applyAlignment="1">
      <alignment horizontal="right" vertical="center"/>
    </xf>
    <xf numFmtId="176" fontId="65" fillId="30" borderId="120" xfId="0" applyNumberFormat="1" applyFont="1" applyFill="1" applyBorder="1" applyAlignment="1">
      <alignment horizontal="center" vertical="center"/>
    </xf>
    <xf numFmtId="176" fontId="65" fillId="30" borderId="123" xfId="0" applyNumberFormat="1" applyFont="1" applyFill="1" applyBorder="1" applyAlignment="1">
      <alignment horizontal="center" vertical="center"/>
    </xf>
    <xf numFmtId="0" fontId="0" fillId="30" borderId="0" xfId="0" applyFill="1" applyBorder="1" applyAlignment="1">
      <alignment vertical="center"/>
    </xf>
    <xf numFmtId="0" fontId="0" fillId="30" borderId="0" xfId="0" applyFill="1" applyBorder="1" applyAlignment="1">
      <alignment horizontal="left" vertical="center"/>
    </xf>
    <xf numFmtId="4" fontId="0" fillId="30" borderId="68" xfId="0" applyNumberFormat="1" applyFill="1" applyBorder="1" applyAlignment="1">
      <alignment horizontal="right" vertical="center"/>
    </xf>
    <xf numFmtId="4" fontId="0" fillId="30" borderId="55" xfId="0" applyNumberFormat="1" applyFill="1" applyBorder="1" applyAlignment="1">
      <alignment horizontal="right" vertical="center"/>
    </xf>
    <xf numFmtId="0" fontId="0" fillId="30" borderId="34" xfId="0" applyFill="1" applyBorder="1" applyAlignment="1">
      <alignment horizontal="center" vertical="center" wrapText="1"/>
    </xf>
    <xf numFmtId="0" fontId="34" fillId="30" borderId="0" xfId="258" applyFont="1" applyFill="1" applyBorder="1" applyAlignment="1" applyProtection="1">
      <alignment vertical="center"/>
    </xf>
    <xf numFmtId="0" fontId="0" fillId="30" borderId="36" xfId="0" applyFont="1" applyFill="1" applyBorder="1" applyAlignment="1">
      <alignment horizontal="left" vertical="center"/>
    </xf>
    <xf numFmtId="0" fontId="62" fillId="30" borderId="25" xfId="0" applyFont="1" applyFill="1" applyBorder="1" applyAlignment="1">
      <alignment horizontal="center" vertical="center"/>
    </xf>
    <xf numFmtId="0" fontId="62" fillId="30" borderId="128" xfId="0" applyFont="1" applyFill="1" applyBorder="1" applyAlignment="1">
      <alignment horizontal="center" vertical="center" wrapText="1"/>
    </xf>
    <xf numFmtId="176" fontId="65" fillId="30" borderId="110" xfId="0" applyNumberFormat="1" applyFont="1" applyFill="1" applyBorder="1" applyAlignment="1">
      <alignment horizontal="center" vertical="center"/>
    </xf>
    <xf numFmtId="176" fontId="65" fillId="30" borderId="124" xfId="0" applyNumberFormat="1" applyFont="1" applyFill="1" applyBorder="1" applyAlignment="1">
      <alignment horizontal="center" vertical="center"/>
    </xf>
    <xf numFmtId="176" fontId="65" fillId="30" borderId="126" xfId="0" applyNumberFormat="1" applyFont="1" applyFill="1" applyBorder="1" applyAlignment="1">
      <alignment horizontal="center" vertical="center"/>
    </xf>
    <xf numFmtId="176" fontId="65" fillId="30" borderId="115" xfId="0" applyNumberFormat="1" applyFont="1" applyFill="1" applyBorder="1" applyAlignment="1">
      <alignment horizontal="center" vertical="center"/>
    </xf>
    <xf numFmtId="0" fontId="0" fillId="30" borderId="156" xfId="0" applyFill="1" applyBorder="1" applyAlignment="1">
      <alignment horizontal="center" vertical="center"/>
    </xf>
    <xf numFmtId="0" fontId="70" fillId="0" borderId="0" xfId="0" applyFont="1" applyAlignment="1" applyProtection="1">
      <alignment vertical="center"/>
    </xf>
    <xf numFmtId="4" fontId="0" fillId="30" borderId="83" xfId="0" applyNumberFormat="1" applyFill="1" applyBorder="1" applyAlignment="1">
      <alignment horizontal="center" vertical="center"/>
    </xf>
    <xf numFmtId="4" fontId="0" fillId="30" borderId="76" xfId="0" applyNumberFormat="1" applyFill="1" applyBorder="1" applyAlignment="1">
      <alignment horizontal="center" vertical="center"/>
    </xf>
    <xf numFmtId="177" fontId="0" fillId="30" borderId="63" xfId="0" applyNumberFormat="1" applyFill="1" applyBorder="1"/>
    <xf numFmtId="177" fontId="0" fillId="30" borderId="72" xfId="0" applyNumberFormat="1" applyFill="1" applyBorder="1"/>
    <xf numFmtId="177" fontId="0" fillId="30" borderId="76" xfId="0" applyNumberFormat="1" applyFill="1" applyBorder="1"/>
    <xf numFmtId="177" fontId="0" fillId="30" borderId="14" xfId="0" applyNumberFormat="1" applyFill="1" applyBorder="1"/>
    <xf numFmtId="177" fontId="0" fillId="30" borderId="48" xfId="0" applyNumberFormat="1" applyFill="1" applyBorder="1"/>
    <xf numFmtId="177" fontId="0" fillId="32" borderId="48" xfId="0" applyNumberFormat="1" applyFill="1" applyBorder="1"/>
    <xf numFmtId="177" fontId="0" fillId="32" borderId="76" xfId="0" applyNumberFormat="1" applyFill="1" applyBorder="1"/>
    <xf numFmtId="177" fontId="0" fillId="30" borderId="40" xfId="0" applyNumberFormat="1" applyFill="1" applyBorder="1"/>
    <xf numFmtId="177" fontId="0" fillId="32" borderId="72" xfId="0" applyNumberFormat="1" applyFill="1" applyBorder="1"/>
    <xf numFmtId="177" fontId="0" fillId="32" borderId="30" xfId="0" applyNumberFormat="1" applyFill="1" applyBorder="1"/>
    <xf numFmtId="177" fontId="0" fillId="32" borderId="14" xfId="0" applyNumberFormat="1" applyFill="1" applyBorder="1"/>
    <xf numFmtId="177" fontId="0" fillId="32" borderId="63" xfId="0" applyNumberFormat="1" applyFill="1" applyBorder="1"/>
    <xf numFmtId="177" fontId="0" fillId="32" borderId="40" xfId="0" applyNumberFormat="1" applyFill="1" applyBorder="1"/>
    <xf numFmtId="177" fontId="0" fillId="30" borderId="72" xfId="0" quotePrefix="1" applyNumberFormat="1" applyFill="1" applyBorder="1"/>
    <xf numFmtId="177" fontId="0" fillId="30" borderId="30" xfId="0" applyNumberFormat="1" applyFill="1" applyBorder="1"/>
    <xf numFmtId="177" fontId="0" fillId="30" borderId="146" xfId="0" applyNumberFormat="1" applyFill="1" applyBorder="1"/>
    <xf numFmtId="177" fontId="0" fillId="30" borderId="92" xfId="0" applyNumberFormat="1" applyFill="1" applyBorder="1"/>
    <xf numFmtId="177" fontId="0" fillId="30" borderId="88" xfId="0" applyNumberFormat="1" applyFill="1" applyBorder="1"/>
    <xf numFmtId="177" fontId="0" fillId="30" borderId="33" xfId="0" applyNumberFormat="1" applyFill="1" applyBorder="1"/>
    <xf numFmtId="177" fontId="0" fillId="30" borderId="54" xfId="0" applyNumberFormat="1" applyFill="1" applyBorder="1"/>
    <xf numFmtId="177" fontId="0" fillId="32" borderId="54" xfId="0" applyNumberFormat="1" applyFill="1" applyBorder="1"/>
    <xf numFmtId="177" fontId="0" fillId="30" borderId="96" xfId="0" applyNumberFormat="1" applyFill="1" applyBorder="1"/>
    <xf numFmtId="177" fontId="0" fillId="32" borderId="89" xfId="0" applyNumberFormat="1" applyFill="1" applyBorder="1"/>
    <xf numFmtId="177" fontId="0" fillId="32" borderId="33" xfId="0" applyNumberFormat="1" applyFill="1" applyBorder="1"/>
    <xf numFmtId="177" fontId="0" fillId="32" borderId="146" xfId="0" applyNumberFormat="1" applyFill="1" applyBorder="1"/>
    <xf numFmtId="177" fontId="0" fillId="32" borderId="92" xfId="0" applyNumberFormat="1" applyFill="1" applyBorder="1"/>
    <xf numFmtId="177" fontId="0" fillId="32" borderId="88" xfId="0" applyNumberFormat="1" applyFill="1" applyBorder="1"/>
    <xf numFmtId="177" fontId="0" fillId="32" borderId="96" xfId="0" applyNumberFormat="1" applyFill="1" applyBorder="1"/>
    <xf numFmtId="177" fontId="0" fillId="32" borderId="71" xfId="0" applyNumberFormat="1" applyFill="1" applyBorder="1"/>
    <xf numFmtId="177" fontId="0" fillId="30" borderId="71" xfId="0" applyNumberFormat="1" applyFill="1" applyBorder="1"/>
    <xf numFmtId="177" fontId="0" fillId="32" borderId="94" xfId="0" applyNumberFormat="1" applyFill="1" applyBorder="1"/>
    <xf numFmtId="0" fontId="0" fillId="30" borderId="40" xfId="0" applyNumberFormat="1" applyFill="1" applyBorder="1"/>
    <xf numFmtId="177" fontId="0" fillId="32" borderId="85" xfId="0" applyNumberFormat="1" applyFill="1" applyBorder="1"/>
    <xf numFmtId="0" fontId="0" fillId="30" borderId="48" xfId="0" applyNumberFormat="1" applyFill="1" applyBorder="1"/>
    <xf numFmtId="0" fontId="0" fillId="30" borderId="14" xfId="0" quotePrefix="1" applyFill="1" applyBorder="1"/>
    <xf numFmtId="0" fontId="0" fillId="30" borderId="42" xfId="0" applyFill="1" applyBorder="1"/>
    <xf numFmtId="0" fontId="0" fillId="30" borderId="135" xfId="0" applyFill="1" applyBorder="1"/>
    <xf numFmtId="0" fontId="62" fillId="30" borderId="157" xfId="0" applyFont="1" applyFill="1" applyBorder="1" applyAlignment="1">
      <alignment horizontal="center" vertical="center"/>
    </xf>
    <xf numFmtId="0" fontId="62" fillId="30" borderId="139" xfId="0" applyFont="1" applyFill="1" applyBorder="1" applyAlignment="1">
      <alignment horizontal="center" vertical="center" wrapText="1"/>
    </xf>
    <xf numFmtId="176" fontId="0" fillId="32" borderId="48" xfId="0" applyNumberFormat="1" applyFill="1" applyBorder="1"/>
    <xf numFmtId="176" fontId="0" fillId="32" borderId="76" xfId="0" applyNumberFormat="1" applyFill="1" applyBorder="1"/>
    <xf numFmtId="176" fontId="0" fillId="32" borderId="30" xfId="0" applyNumberFormat="1" applyFill="1" applyBorder="1"/>
    <xf numFmtId="176" fontId="0" fillId="32" borderId="72" xfId="0" applyNumberFormat="1" applyFill="1" applyBorder="1"/>
    <xf numFmtId="176" fontId="0" fillId="30" borderId="63" xfId="0" applyNumberFormat="1" applyFill="1" applyBorder="1"/>
    <xf numFmtId="176" fontId="0" fillId="32" borderId="63" xfId="0" applyNumberFormat="1" applyFill="1" applyBorder="1"/>
    <xf numFmtId="176" fontId="0" fillId="30" borderId="71" xfId="0" applyNumberFormat="1" applyFill="1" applyBorder="1"/>
    <xf numFmtId="176" fontId="0" fillId="30" borderId="14" xfId="0" applyNumberFormat="1" applyFill="1" applyBorder="1"/>
    <xf numFmtId="0" fontId="65" fillId="30" borderId="161" xfId="0" applyFont="1" applyFill="1" applyBorder="1" applyAlignment="1">
      <alignment horizontal="center" vertical="center"/>
    </xf>
    <xf numFmtId="0" fontId="65" fillId="30" borderId="162" xfId="0" applyFont="1" applyFill="1" applyBorder="1" applyAlignment="1">
      <alignment horizontal="center" vertical="center"/>
    </xf>
    <xf numFmtId="0" fontId="65" fillId="30" borderId="162" xfId="0" applyFont="1" applyFill="1" applyBorder="1" applyAlignment="1">
      <alignment horizontal="left" vertical="center"/>
    </xf>
    <xf numFmtId="0" fontId="65" fillId="30" borderId="163" xfId="0" applyFont="1" applyFill="1" applyBorder="1" applyAlignment="1">
      <alignment horizontal="center" vertical="center"/>
    </xf>
    <xf numFmtId="0" fontId="65" fillId="30" borderId="164" xfId="0" applyFont="1" applyFill="1" applyBorder="1" applyAlignment="1">
      <alignment horizontal="center" vertical="center"/>
    </xf>
    <xf numFmtId="176" fontId="65" fillId="30" borderId="165" xfId="0" applyNumberFormat="1" applyFont="1" applyFill="1" applyBorder="1" applyAlignment="1">
      <alignment horizontal="center" vertical="center"/>
    </xf>
    <xf numFmtId="176" fontId="65" fillId="30" borderId="166" xfId="0" applyNumberFormat="1" applyFont="1" applyFill="1" applyBorder="1" applyAlignment="1">
      <alignment horizontal="center" vertical="center"/>
    </xf>
    <xf numFmtId="0" fontId="0" fillId="30" borderId="48" xfId="0" applyNumberFormat="1" applyFill="1" applyBorder="1" applyAlignment="1">
      <alignment horizontal="right" vertical="center"/>
    </xf>
    <xf numFmtId="0" fontId="0" fillId="30" borderId="76" xfId="0" applyNumberFormat="1" applyFill="1" applyBorder="1" applyAlignment="1">
      <alignment horizontal="right" vertical="center"/>
    </xf>
    <xf numFmtId="10" fontId="56" fillId="30" borderId="72" xfId="158" applyNumberFormat="1" applyFont="1" applyFill="1" applyBorder="1" applyAlignment="1">
      <alignment horizontal="center" vertical="center"/>
    </xf>
    <xf numFmtId="10" fontId="56" fillId="36" borderId="73" xfId="158" applyNumberFormat="1" applyFont="1" applyFill="1" applyBorder="1" applyAlignment="1">
      <alignment horizontal="center" vertical="center"/>
    </xf>
    <xf numFmtId="0" fontId="0" fillId="32" borderId="73" xfId="0" applyFill="1" applyBorder="1" applyAlignment="1">
      <alignment horizontal="center" vertical="center"/>
    </xf>
    <xf numFmtId="10" fontId="0" fillId="30" borderId="72" xfId="158" applyNumberFormat="1" applyFont="1" applyFill="1" applyBorder="1" applyAlignment="1">
      <alignment horizontal="center" vertical="center"/>
    </xf>
    <xf numFmtId="10" fontId="0" fillId="30" borderId="127" xfId="158" applyNumberFormat="1" applyFont="1" applyFill="1" applyBorder="1" applyAlignment="1">
      <alignment horizontal="center" vertical="center"/>
    </xf>
    <xf numFmtId="10" fontId="56" fillId="30" borderId="87" xfId="158" applyNumberFormat="1" applyFont="1" applyFill="1" applyBorder="1" applyAlignment="1">
      <alignment horizontal="center" vertical="center"/>
    </xf>
    <xf numFmtId="176" fontId="0" fillId="32" borderId="74" xfId="0" applyNumberFormat="1" applyFill="1" applyBorder="1" applyAlignment="1">
      <alignment horizontal="right" vertical="center"/>
    </xf>
    <xf numFmtId="0" fontId="0" fillId="30" borderId="31" xfId="0" applyFill="1" applyBorder="1" applyAlignment="1">
      <alignment horizontal="left" vertical="center"/>
    </xf>
    <xf numFmtId="0" fontId="0" fillId="38" borderId="31" xfId="0" applyFill="1" applyBorder="1" applyAlignment="1">
      <alignment horizontal="left" vertical="center"/>
    </xf>
    <xf numFmtId="0" fontId="0" fillId="38" borderId="20" xfId="0" applyFill="1" applyBorder="1" applyAlignment="1">
      <alignment horizontal="left" vertical="center"/>
    </xf>
    <xf numFmtId="0" fontId="0" fillId="38" borderId="23" xfId="0" applyFill="1" applyBorder="1" applyAlignment="1">
      <alignment horizontal="left" vertical="center"/>
    </xf>
    <xf numFmtId="0" fontId="0" fillId="0" borderId="71" xfId="0" applyFill="1" applyBorder="1" applyAlignment="1">
      <alignment horizontal="left" vertical="center" wrapText="1"/>
    </xf>
    <xf numFmtId="0" fontId="62" fillId="0" borderId="65" xfId="0" applyFont="1" applyFill="1" applyBorder="1" applyAlignment="1">
      <alignment horizontal="left" vertical="center"/>
    </xf>
    <xf numFmtId="0" fontId="62" fillId="0" borderId="136" xfId="0" applyFont="1" applyFill="1" applyBorder="1" applyAlignment="1">
      <alignment horizontal="center" vertical="center" wrapText="1"/>
    </xf>
    <xf numFmtId="176" fontId="0" fillId="30" borderId="127" xfId="0" applyNumberFormat="1" applyFill="1" applyBorder="1" applyAlignment="1">
      <alignment horizontal="right" vertical="center"/>
    </xf>
    <xf numFmtId="3" fontId="0" fillId="30" borderId="57" xfId="0" applyNumberFormat="1" applyFill="1" applyBorder="1" applyAlignment="1">
      <alignment horizontal="center" vertical="center"/>
    </xf>
    <xf numFmtId="3" fontId="0" fillId="30" borderId="81" xfId="0" applyNumberFormat="1" applyFill="1" applyBorder="1" applyAlignment="1">
      <alignment horizontal="right" vertical="center"/>
    </xf>
    <xf numFmtId="3" fontId="0" fillId="30" borderId="86" xfId="0" applyNumberFormat="1" applyFill="1" applyBorder="1" applyAlignment="1">
      <alignment horizontal="right" vertical="center"/>
    </xf>
    <xf numFmtId="3" fontId="0" fillId="30" borderId="57" xfId="0" applyNumberFormat="1" applyFill="1" applyBorder="1" applyAlignment="1">
      <alignment horizontal="right" vertical="center"/>
    </xf>
    <xf numFmtId="0" fontId="0" fillId="30" borderId="14" xfId="0" applyFill="1" applyBorder="1" applyAlignment="1">
      <alignment horizontal="center" vertical="center"/>
    </xf>
    <xf numFmtId="0" fontId="0" fillId="30" borderId="0" xfId="0" applyFill="1" applyBorder="1" applyAlignment="1">
      <alignment horizontal="center" vertical="center"/>
    </xf>
    <xf numFmtId="0" fontId="0" fillId="32" borderId="59" xfId="0" applyFill="1" applyBorder="1" applyAlignment="1">
      <alignment horizontal="left" vertical="center"/>
    </xf>
    <xf numFmtId="0" fontId="0" fillId="32" borderId="61" xfId="0" applyFill="1" applyBorder="1" applyAlignment="1">
      <alignment horizontal="left" vertical="center"/>
    </xf>
    <xf numFmtId="0" fontId="0" fillId="30" borderId="15" xfId="0" applyFill="1" applyBorder="1" applyAlignment="1">
      <alignment vertical="center"/>
    </xf>
    <xf numFmtId="0" fontId="0" fillId="30" borderId="76" xfId="0" applyFill="1" applyBorder="1" applyAlignment="1">
      <alignment vertical="center"/>
    </xf>
    <xf numFmtId="0" fontId="0" fillId="30" borderId="76" xfId="0" applyFont="1" applyFill="1" applyBorder="1" applyAlignment="1"/>
    <xf numFmtId="0" fontId="0" fillId="30" borderId="76" xfId="0" applyFill="1" applyBorder="1"/>
    <xf numFmtId="166" fontId="0" fillId="32" borderId="72" xfId="0" applyNumberFormat="1" applyFill="1" applyBorder="1" applyAlignment="1">
      <alignment horizontal="center" vertical="center"/>
    </xf>
    <xf numFmtId="166" fontId="0" fillId="32" borderId="55" xfId="0" applyNumberFormat="1" applyFill="1" applyBorder="1" applyAlignment="1">
      <alignment horizontal="center" vertical="center"/>
    </xf>
    <xf numFmtId="177" fontId="0" fillId="30" borderId="82" xfId="0" applyNumberFormat="1" applyFill="1" applyBorder="1" applyAlignment="1">
      <alignment horizontal="right" vertical="center"/>
    </xf>
    <xf numFmtId="177" fontId="0" fillId="32" borderId="52" xfId="0" applyNumberFormat="1" applyFill="1" applyBorder="1" applyAlignment="1">
      <alignment horizontal="right" vertical="center"/>
    </xf>
    <xf numFmtId="177" fontId="0" fillId="30" borderId="52" xfId="0" applyNumberFormat="1" applyFill="1" applyBorder="1" applyAlignment="1">
      <alignment horizontal="right" vertical="center"/>
    </xf>
    <xf numFmtId="177" fontId="0" fillId="32" borderId="81" xfId="0" applyNumberFormat="1" applyFill="1" applyBorder="1" applyAlignment="1">
      <alignment horizontal="right" vertical="center"/>
    </xf>
    <xf numFmtId="177" fontId="0" fillId="32" borderId="82" xfId="0" applyNumberFormat="1" applyFill="1" applyBorder="1" applyAlignment="1">
      <alignment horizontal="right" vertical="center"/>
    </xf>
    <xf numFmtId="177" fontId="0" fillId="32" borderId="68" xfId="0" applyNumberFormat="1" applyFill="1" applyBorder="1" applyAlignment="1">
      <alignment horizontal="right" vertical="center"/>
    </xf>
    <xf numFmtId="177" fontId="0" fillId="30" borderId="72" xfId="0" applyNumberFormat="1" applyFill="1" applyBorder="1" applyAlignment="1">
      <alignment horizontal="right" vertical="center"/>
    </xf>
    <xf numFmtId="177" fontId="0" fillId="32" borderId="48" xfId="0" applyNumberFormat="1" applyFill="1" applyBorder="1" applyAlignment="1">
      <alignment horizontal="right" vertical="center"/>
    </xf>
    <xf numFmtId="177" fontId="0" fillId="30" borderId="48" xfId="0" applyNumberFormat="1" applyFill="1" applyBorder="1" applyAlignment="1">
      <alignment horizontal="right" vertical="center"/>
    </xf>
    <xf numFmtId="177" fontId="0" fillId="32" borderId="85" xfId="0" applyNumberFormat="1" applyFill="1" applyBorder="1" applyAlignment="1">
      <alignment horizontal="right" vertical="center"/>
    </xf>
    <xf numFmtId="177" fontId="0" fillId="32" borderId="72" xfId="0" applyNumberFormat="1" applyFill="1" applyBorder="1" applyAlignment="1">
      <alignment horizontal="right" vertical="center"/>
    </xf>
    <xf numFmtId="177" fontId="0" fillId="32" borderId="55" xfId="0" applyNumberFormat="1" applyFill="1" applyBorder="1" applyAlignment="1">
      <alignment horizontal="right" vertical="center"/>
    </xf>
    <xf numFmtId="177" fontId="0" fillId="32" borderId="92" xfId="0" applyNumberFormat="1" applyFill="1" applyBorder="1" applyAlignment="1">
      <alignment horizontal="right" vertical="center"/>
    </xf>
    <xf numFmtId="177" fontId="0" fillId="32" borderId="54" xfId="0" applyNumberFormat="1" applyFill="1" applyBorder="1" applyAlignment="1">
      <alignment horizontal="right" vertical="center"/>
    </xf>
    <xf numFmtId="177" fontId="0" fillId="30" borderId="54" xfId="0" applyNumberFormat="1" applyFill="1" applyBorder="1" applyAlignment="1">
      <alignment horizontal="right" vertical="center"/>
    </xf>
    <xf numFmtId="177" fontId="0" fillId="30" borderId="95" xfId="0" applyNumberFormat="1" applyFill="1" applyBorder="1" applyAlignment="1">
      <alignment horizontal="right" vertical="center"/>
    </xf>
    <xf numFmtId="177" fontId="0" fillId="32" borderId="95" xfId="0" applyNumberFormat="1" applyFill="1" applyBorder="1" applyAlignment="1">
      <alignment horizontal="right" vertical="center"/>
    </xf>
    <xf numFmtId="177" fontId="0" fillId="32" borderId="76" xfId="0" applyNumberFormat="1" applyFill="1" applyBorder="1" applyAlignment="1">
      <alignment horizontal="right" vertical="center"/>
    </xf>
    <xf numFmtId="177" fontId="0" fillId="30" borderId="55" xfId="0" applyNumberFormat="1" applyFill="1" applyBorder="1" applyAlignment="1">
      <alignment horizontal="right" vertical="center"/>
    </xf>
    <xf numFmtId="0" fontId="0" fillId="30" borderId="16" xfId="0" applyFill="1" applyBorder="1" applyAlignment="1">
      <alignment vertical="center"/>
    </xf>
    <xf numFmtId="0" fontId="0" fillId="30" borderId="175" xfId="0" applyFill="1" applyBorder="1" applyAlignment="1">
      <alignment vertical="center"/>
    </xf>
    <xf numFmtId="3" fontId="0" fillId="30" borderId="168" xfId="0" applyNumberFormat="1" applyFill="1" applyBorder="1" applyAlignment="1">
      <alignment horizontal="right" vertical="center"/>
    </xf>
    <xf numFmtId="3" fontId="0" fillId="30" borderId="56" xfId="0" applyNumberFormat="1" applyFill="1" applyBorder="1" applyAlignment="1">
      <alignment horizontal="right" vertical="center"/>
    </xf>
    <xf numFmtId="3" fontId="0" fillId="30" borderId="97" xfId="0" applyNumberFormat="1" applyFill="1" applyBorder="1" applyAlignment="1">
      <alignment horizontal="right" vertical="center"/>
    </xf>
    <xf numFmtId="3" fontId="0" fillId="30" borderId="176" xfId="0" applyNumberFormat="1" applyFill="1" applyBorder="1" applyAlignment="1">
      <alignment horizontal="right" vertical="center"/>
    </xf>
    <xf numFmtId="176" fontId="0" fillId="30" borderId="45" xfId="0" applyNumberFormat="1" applyFill="1" applyBorder="1" applyAlignment="1">
      <alignment horizontal="right" vertical="center"/>
    </xf>
    <xf numFmtId="176" fontId="0" fillId="30" borderId="97" xfId="0" applyNumberFormat="1" applyFill="1" applyBorder="1" applyAlignment="1">
      <alignment horizontal="right" vertical="center"/>
    </xf>
    <xf numFmtId="176" fontId="0" fillId="30" borderId="56" xfId="0" applyNumberFormat="1" applyFill="1" applyBorder="1" applyAlignment="1">
      <alignment horizontal="right" vertical="center"/>
    </xf>
    <xf numFmtId="176" fontId="0" fillId="30" borderId="176" xfId="0" applyNumberFormat="1" applyFill="1" applyBorder="1" applyAlignment="1">
      <alignment horizontal="right" vertical="center"/>
    </xf>
    <xf numFmtId="4" fontId="0" fillId="30" borderId="81" xfId="0" applyNumberFormat="1" applyFill="1" applyBorder="1" applyAlignment="1">
      <alignment horizontal="right" vertical="center"/>
    </xf>
    <xf numFmtId="4" fontId="0" fillId="30" borderId="79" xfId="0" applyNumberFormat="1" applyFill="1" applyBorder="1" applyAlignment="1">
      <alignment horizontal="right" vertical="center"/>
    </xf>
    <xf numFmtId="4" fontId="0" fillId="30" borderId="86" xfId="0" applyNumberFormat="1" applyFill="1" applyBorder="1" applyAlignment="1">
      <alignment horizontal="right" vertical="center"/>
    </xf>
    <xf numFmtId="4" fontId="0" fillId="30" borderId="69" xfId="0" applyNumberFormat="1" applyFill="1" applyBorder="1" applyAlignment="1">
      <alignment horizontal="right" vertical="center"/>
    </xf>
    <xf numFmtId="4" fontId="0" fillId="30" borderId="50" xfId="0" applyNumberFormat="1" applyFill="1" applyBorder="1" applyAlignment="1">
      <alignment horizontal="right" vertical="center"/>
    </xf>
    <xf numFmtId="4" fontId="0" fillId="30" borderId="57" xfId="0" applyNumberFormat="1" applyFill="1" applyBorder="1" applyAlignment="1">
      <alignment horizontal="right" vertical="center"/>
    </xf>
    <xf numFmtId="4" fontId="0" fillId="30" borderId="58" xfId="0" applyNumberFormat="1" applyFill="1" applyBorder="1" applyAlignment="1">
      <alignment horizontal="right" vertical="center"/>
    </xf>
    <xf numFmtId="4" fontId="0" fillId="30" borderId="78" xfId="0" applyNumberFormat="1" applyFill="1" applyBorder="1" applyAlignment="1">
      <alignment horizontal="right" vertical="center"/>
    </xf>
    <xf numFmtId="4" fontId="0" fillId="30" borderId="73" xfId="0" applyNumberFormat="1" applyFill="1" applyBorder="1" applyAlignment="1">
      <alignment horizontal="right" vertical="center"/>
    </xf>
    <xf numFmtId="177" fontId="0" fillId="32" borderId="46" xfId="0" applyNumberFormat="1" applyFill="1" applyBorder="1" applyAlignment="1">
      <alignment horizontal="right" vertical="center"/>
    </xf>
    <xf numFmtId="177" fontId="0" fillId="32" borderId="56" xfId="0" applyNumberFormat="1" applyFill="1" applyBorder="1" applyAlignment="1">
      <alignment horizontal="right" vertical="center"/>
    </xf>
    <xf numFmtId="177" fontId="0" fillId="32" borderId="97" xfId="0" applyNumberFormat="1" applyFill="1" applyBorder="1" applyAlignment="1">
      <alignment horizontal="right" vertical="center"/>
    </xf>
    <xf numFmtId="176" fontId="0" fillId="30" borderId="160" xfId="0" applyNumberFormat="1" applyFill="1" applyBorder="1" applyAlignment="1">
      <alignment horizontal="right" vertical="center"/>
    </xf>
    <xf numFmtId="176" fontId="0" fillId="30" borderId="29" xfId="0" applyNumberFormat="1" applyFill="1" applyBorder="1" applyAlignment="1">
      <alignment horizontal="right" vertical="center"/>
    </xf>
    <xf numFmtId="176" fontId="0" fillId="30" borderId="41" xfId="0" applyNumberFormat="1" applyFill="1" applyBorder="1" applyAlignment="1">
      <alignment horizontal="right" vertical="center"/>
    </xf>
    <xf numFmtId="176" fontId="0" fillId="30" borderId="171" xfId="0" applyNumberFormat="1" applyFill="1" applyBorder="1" applyAlignment="1">
      <alignment horizontal="right" vertical="center"/>
    </xf>
    <xf numFmtId="176" fontId="0" fillId="30" borderId="159" xfId="0" applyNumberFormat="1" applyFill="1" applyBorder="1" applyAlignment="1">
      <alignment horizontal="right" vertical="center"/>
    </xf>
    <xf numFmtId="177" fontId="0" fillId="32" borderId="160" xfId="0" applyNumberFormat="1" applyFill="1" applyBorder="1" applyAlignment="1">
      <alignment horizontal="right" vertical="center"/>
    </xf>
    <xf numFmtId="177" fontId="0" fillId="32" borderId="29" xfId="0" applyNumberFormat="1" applyFill="1" applyBorder="1" applyAlignment="1">
      <alignment horizontal="right" vertical="center"/>
    </xf>
    <xf numFmtId="166" fontId="0" fillId="32" borderId="29" xfId="0" applyNumberFormat="1" applyFill="1" applyBorder="1" applyAlignment="1">
      <alignment horizontal="center" vertical="center"/>
    </xf>
    <xf numFmtId="0" fontId="0" fillId="32" borderId="41" xfId="0" applyFill="1" applyBorder="1" applyAlignment="1">
      <alignment horizontal="left" vertical="center"/>
    </xf>
    <xf numFmtId="177" fontId="0" fillId="30" borderId="37" xfId="0" applyNumberFormat="1" applyFill="1" applyBorder="1" applyAlignment="1">
      <alignment horizontal="right" vertical="center"/>
    </xf>
    <xf numFmtId="177" fontId="0" fillId="32" borderId="40" xfId="0" applyNumberFormat="1" applyFill="1" applyBorder="1" applyAlignment="1">
      <alignment horizontal="right" vertical="center"/>
    </xf>
    <xf numFmtId="0" fontId="0" fillId="30" borderId="43" xfId="0" applyFill="1" applyBorder="1" applyAlignment="1">
      <alignment horizontal="center" vertical="center"/>
    </xf>
    <xf numFmtId="0" fontId="0" fillId="30" borderId="42" xfId="0" applyFill="1" applyBorder="1" applyAlignment="1">
      <alignment horizontal="center" vertical="center"/>
    </xf>
    <xf numFmtId="177" fontId="0" fillId="30" borderId="96" xfId="0" applyNumberFormat="1" applyFill="1" applyBorder="1" applyAlignment="1">
      <alignment horizontal="right" vertical="center"/>
    </xf>
    <xf numFmtId="0" fontId="0" fillId="30" borderId="52" xfId="0" applyNumberFormat="1" applyFill="1" applyBorder="1" applyAlignment="1">
      <alignment horizontal="right" vertical="center"/>
    </xf>
    <xf numFmtId="177" fontId="0" fillId="30" borderId="177" xfId="0" applyNumberFormat="1" applyFill="1" applyBorder="1" applyAlignment="1">
      <alignment horizontal="right" vertical="center"/>
    </xf>
    <xf numFmtId="3" fontId="0" fillId="30" borderId="72" xfId="0" applyNumberFormat="1" applyFill="1" applyBorder="1" applyAlignment="1">
      <alignment horizontal="right" vertical="center"/>
    </xf>
    <xf numFmtId="3" fontId="0" fillId="30" borderId="55" xfId="0" applyNumberFormat="1" applyFill="1" applyBorder="1" applyAlignment="1">
      <alignment horizontal="right" vertical="center"/>
    </xf>
    <xf numFmtId="0" fontId="0" fillId="30" borderId="28" xfId="0" quotePrefix="1" applyFill="1" applyBorder="1"/>
    <xf numFmtId="0" fontId="2" fillId="30" borderId="0" xfId="224" applyFill="1" applyAlignment="1">
      <alignment vertical="center"/>
    </xf>
    <xf numFmtId="0" fontId="62" fillId="30" borderId="67" xfId="224" applyFont="1" applyFill="1" applyBorder="1" applyAlignment="1">
      <alignment vertical="center" wrapText="1"/>
    </xf>
    <xf numFmtId="0" fontId="62" fillId="30" borderId="70" xfId="224" applyFont="1" applyFill="1" applyBorder="1" applyAlignment="1">
      <alignment horizontal="right" vertical="center"/>
    </xf>
    <xf numFmtId="176" fontId="62" fillId="41" borderId="48" xfId="263" applyNumberFormat="1" applyFont="1" applyFill="1" applyBorder="1" applyAlignment="1" applyProtection="1">
      <alignment vertical="center"/>
      <protection locked="0"/>
    </xf>
    <xf numFmtId="176" fontId="62" fillId="41" borderId="72" xfId="263" applyNumberFormat="1" applyFont="1" applyFill="1" applyBorder="1" applyAlignment="1" applyProtection="1">
      <alignment vertical="center"/>
      <protection locked="0"/>
    </xf>
    <xf numFmtId="176" fontId="62" fillId="31" borderId="48" xfId="263" applyNumberFormat="1" applyFont="1" applyFill="1" applyBorder="1" applyAlignment="1" applyProtection="1">
      <alignment vertical="center"/>
      <protection locked="0"/>
    </xf>
    <xf numFmtId="176" fontId="62" fillId="31" borderId="72" xfId="263" applyNumberFormat="1" applyFont="1" applyFill="1" applyBorder="1" applyAlignment="1" applyProtection="1">
      <alignment vertical="center"/>
      <protection locked="0"/>
    </xf>
    <xf numFmtId="0" fontId="62" fillId="30" borderId="14" xfId="224" applyFont="1" applyFill="1" applyBorder="1" applyAlignment="1">
      <alignment vertical="center" wrapText="1"/>
    </xf>
    <xf numFmtId="0" fontId="62" fillId="30" borderId="14" xfId="224" applyFont="1" applyFill="1" applyBorder="1" applyAlignment="1">
      <alignment vertical="center"/>
    </xf>
    <xf numFmtId="0" fontId="62" fillId="30" borderId="15" xfId="224" applyFont="1" applyFill="1" applyBorder="1" applyAlignment="1">
      <alignment horizontal="right" vertical="center"/>
    </xf>
    <xf numFmtId="0" fontId="62" fillId="30" borderId="15" xfId="224" applyFont="1" applyFill="1" applyBorder="1" applyAlignment="1">
      <alignment vertical="center"/>
    </xf>
    <xf numFmtId="0" fontId="74" fillId="30" borderId="14" xfId="224" applyFont="1" applyFill="1" applyBorder="1" applyAlignment="1">
      <alignment vertical="center"/>
    </xf>
    <xf numFmtId="0" fontId="74" fillId="30" borderId="15" xfId="224" applyFont="1" applyFill="1" applyBorder="1" applyAlignment="1">
      <alignment vertical="center"/>
    </xf>
    <xf numFmtId="176" fontId="73" fillId="41" borderId="48" xfId="263" applyNumberFormat="1" applyFont="1" applyFill="1" applyBorder="1" applyAlignment="1" applyProtection="1">
      <alignment vertical="center"/>
      <protection locked="0"/>
    </xf>
    <xf numFmtId="176" fontId="73" fillId="41" borderId="72" xfId="263" applyNumberFormat="1" applyFont="1" applyFill="1" applyBorder="1" applyAlignment="1" applyProtection="1">
      <alignment vertical="center"/>
      <protection locked="0"/>
    </xf>
    <xf numFmtId="176" fontId="73" fillId="31" borderId="48" xfId="263" applyNumberFormat="1" applyFont="1" applyFill="1" applyBorder="1" applyAlignment="1" applyProtection="1">
      <alignment vertical="center"/>
      <protection locked="0"/>
    </xf>
    <xf numFmtId="176" fontId="73" fillId="31" borderId="72" xfId="263" applyNumberFormat="1" applyFont="1" applyFill="1" applyBorder="1" applyAlignment="1" applyProtection="1">
      <alignment vertical="center"/>
      <protection locked="0"/>
    </xf>
    <xf numFmtId="4" fontId="40" fillId="30" borderId="0" xfId="258" applyNumberFormat="1" applyFont="1" applyFill="1" applyAlignment="1">
      <alignment vertical="center"/>
    </xf>
    <xf numFmtId="0" fontId="42" fillId="30" borderId="0" xfId="258" applyFont="1" applyFill="1" applyAlignment="1">
      <alignment vertical="center"/>
    </xf>
    <xf numFmtId="0" fontId="37" fillId="30" borderId="0" xfId="258" applyFont="1" applyFill="1" applyAlignment="1">
      <alignment vertical="center"/>
    </xf>
    <xf numFmtId="0" fontId="34" fillId="30" borderId="0" xfId="258" applyFont="1" applyFill="1" applyAlignment="1">
      <alignment vertical="center"/>
    </xf>
    <xf numFmtId="0" fontId="42" fillId="30" borderId="16" xfId="258" applyFont="1" applyFill="1" applyBorder="1" applyAlignment="1">
      <alignment vertical="center"/>
    </xf>
    <xf numFmtId="0" fontId="62" fillId="30" borderId="0" xfId="0" applyFont="1" applyFill="1" applyAlignment="1">
      <alignment vertical="center"/>
    </xf>
    <xf numFmtId="0" fontId="62" fillId="30" borderId="35" xfId="0" applyFont="1" applyFill="1" applyBorder="1" applyAlignment="1">
      <alignment vertical="center"/>
    </xf>
    <xf numFmtId="0" fontId="62" fillId="30" borderId="80" xfId="0" applyFont="1" applyFill="1" applyBorder="1" applyAlignment="1">
      <alignment vertical="center"/>
    </xf>
    <xf numFmtId="0" fontId="62" fillId="30" borderId="79" xfId="0" applyFont="1" applyFill="1" applyBorder="1" applyAlignment="1">
      <alignment vertical="center"/>
    </xf>
    <xf numFmtId="0" fontId="62" fillId="30" borderId="78" xfId="0" applyFont="1" applyFill="1" applyBorder="1" applyAlignment="1">
      <alignment vertical="center"/>
    </xf>
    <xf numFmtId="0" fontId="62" fillId="30" borderId="136" xfId="0" applyFont="1" applyFill="1" applyBorder="1" applyAlignment="1">
      <alignment vertical="center"/>
    </xf>
    <xf numFmtId="0" fontId="62" fillId="30" borderId="135" xfId="0" applyFont="1" applyFill="1" applyBorder="1" applyAlignment="1">
      <alignment vertical="center"/>
    </xf>
    <xf numFmtId="0" fontId="62" fillId="30" borderId="42" xfId="0" quotePrefix="1" applyFont="1" applyFill="1" applyBorder="1" applyAlignment="1">
      <alignment vertical="center"/>
    </xf>
    <xf numFmtId="0" fontId="62" fillId="30" borderId="54" xfId="0" applyFont="1" applyFill="1" applyBorder="1" applyAlignment="1">
      <alignment vertical="center"/>
    </xf>
    <xf numFmtId="0" fontId="62" fillId="30" borderId="92" xfId="0" applyFont="1" applyFill="1" applyBorder="1" applyAlignment="1">
      <alignment vertical="center"/>
    </xf>
    <xf numFmtId="0" fontId="62" fillId="30" borderId="89" xfId="0" quotePrefix="1" applyFont="1" applyFill="1" applyBorder="1" applyAlignment="1">
      <alignment vertical="center"/>
    </xf>
    <xf numFmtId="0" fontId="62" fillId="30" borderId="182" xfId="0" applyFont="1" applyFill="1" applyBorder="1" applyAlignment="1">
      <alignment vertical="center"/>
    </xf>
    <xf numFmtId="0" fontId="62" fillId="30" borderId="88" xfId="0" applyFont="1" applyFill="1" applyBorder="1" applyAlignment="1">
      <alignment vertical="center"/>
    </xf>
    <xf numFmtId="0" fontId="62" fillId="30" borderId="31" xfId="0" applyFont="1" applyFill="1" applyBorder="1" applyAlignment="1">
      <alignment vertical="center"/>
    </xf>
    <xf numFmtId="0" fontId="62" fillId="30" borderId="76" xfId="0" applyFont="1" applyFill="1" applyBorder="1" applyAlignment="1">
      <alignment vertical="center"/>
    </xf>
    <xf numFmtId="0" fontId="62" fillId="30" borderId="48" xfId="0" applyFont="1" applyFill="1" applyBorder="1" applyAlignment="1">
      <alignment vertical="center"/>
    </xf>
    <xf numFmtId="0" fontId="62" fillId="30" borderId="72" xfId="0" applyFont="1" applyFill="1" applyBorder="1" applyAlignment="1">
      <alignment vertical="center"/>
    </xf>
    <xf numFmtId="0" fontId="62" fillId="30" borderId="30" xfId="0" quotePrefix="1" applyFont="1" applyFill="1" applyBorder="1" applyAlignment="1">
      <alignment vertical="center"/>
    </xf>
    <xf numFmtId="0" fontId="62" fillId="30" borderId="30" xfId="0" applyFont="1" applyFill="1" applyBorder="1" applyAlignment="1">
      <alignment vertical="center"/>
    </xf>
    <xf numFmtId="0" fontId="73" fillId="30" borderId="28" xfId="224" applyFont="1" applyFill="1" applyBorder="1" applyAlignment="1">
      <alignment horizontal="center" vertical="center"/>
    </xf>
    <xf numFmtId="0" fontId="73" fillId="30" borderId="27" xfId="224" applyFont="1" applyFill="1" applyBorder="1" applyAlignment="1">
      <alignment horizontal="center" vertical="center"/>
    </xf>
    <xf numFmtId="0" fontId="11" fillId="30" borderId="0" xfId="267" applyFont="1" applyFill="1" applyAlignment="1">
      <alignment vertical="center"/>
    </xf>
    <xf numFmtId="0" fontId="73" fillId="30" borderId="80" xfId="0" applyFont="1" applyFill="1" applyBorder="1" applyAlignment="1">
      <alignment horizontal="center" vertical="center"/>
    </xf>
    <xf numFmtId="0" fontId="73" fillId="30" borderId="79" xfId="0" applyFont="1" applyFill="1" applyBorder="1" applyAlignment="1">
      <alignment horizontal="center" vertical="center"/>
    </xf>
    <xf numFmtId="0" fontId="73" fillId="30" borderId="78" xfId="0" applyFont="1" applyFill="1" applyBorder="1" applyAlignment="1">
      <alignment horizontal="center" vertical="center"/>
    </xf>
    <xf numFmtId="0" fontId="2" fillId="30" borderId="0" xfId="231" applyFill="1" applyAlignment="1">
      <alignment vertical="center"/>
    </xf>
    <xf numFmtId="0" fontId="11" fillId="30" borderId="0" xfId="259" applyFont="1" applyFill="1" applyAlignment="1">
      <alignment vertical="center"/>
    </xf>
    <xf numFmtId="4" fontId="37" fillId="30" borderId="0" xfId="259" applyNumberFormat="1" applyFont="1" applyFill="1" applyAlignment="1">
      <alignment horizontal="right" vertical="center"/>
    </xf>
    <xf numFmtId="0" fontId="2" fillId="30" borderId="0" xfId="259" applyFont="1" applyFill="1" applyAlignment="1">
      <alignment horizontal="right" vertical="center"/>
    </xf>
    <xf numFmtId="0" fontId="11" fillId="30" borderId="0" xfId="259" applyFont="1" applyFill="1" applyAlignment="1">
      <alignment horizontal="center" vertical="center"/>
    </xf>
    <xf numFmtId="2" fontId="11" fillId="30" borderId="0" xfId="267" applyNumberFormat="1" applyFont="1" applyFill="1" applyAlignment="1">
      <alignment vertical="center"/>
    </xf>
    <xf numFmtId="0" fontId="37" fillId="30" borderId="0" xfId="259" applyFont="1" applyFill="1" applyAlignment="1">
      <alignment horizontal="left" vertical="center"/>
    </xf>
    <xf numFmtId="0" fontId="11" fillId="30" borderId="0" xfId="224" applyFont="1" applyFill="1" applyAlignment="1">
      <alignment vertical="center"/>
    </xf>
    <xf numFmtId="0" fontId="37" fillId="30" borderId="0" xfId="224" applyFont="1" applyFill="1" applyAlignment="1">
      <alignment vertical="center"/>
    </xf>
    <xf numFmtId="0" fontId="35" fillId="30" borderId="0" xfId="224" applyFont="1" applyFill="1" applyAlignment="1">
      <alignment vertical="center"/>
    </xf>
    <xf numFmtId="0" fontId="0" fillId="30" borderId="0" xfId="0" applyFill="1" applyAlignment="1">
      <alignment horizontal="right" vertical="center"/>
    </xf>
    <xf numFmtId="178" fontId="0" fillId="32" borderId="191" xfId="0" applyNumberFormat="1" applyFill="1" applyBorder="1" applyAlignment="1">
      <alignment horizontal="right"/>
    </xf>
    <xf numFmtId="178" fontId="0" fillId="32" borderId="190" xfId="0" applyNumberFormat="1" applyFill="1" applyBorder="1" applyAlignment="1">
      <alignment horizontal="right"/>
    </xf>
    <xf numFmtId="178" fontId="0" fillId="30" borderId="0" xfId="0" applyNumberFormat="1" applyFill="1" applyAlignment="1">
      <alignment horizontal="right"/>
    </xf>
    <xf numFmtId="178" fontId="0" fillId="32" borderId="192" xfId="0" applyNumberFormat="1" applyFill="1" applyBorder="1" applyAlignment="1">
      <alignment horizontal="right"/>
    </xf>
    <xf numFmtId="178" fontId="0" fillId="32" borderId="193" xfId="0" applyNumberFormat="1" applyFill="1" applyBorder="1" applyAlignment="1">
      <alignment horizontal="right"/>
    </xf>
    <xf numFmtId="178" fontId="0" fillId="32" borderId="181" xfId="0" applyNumberFormat="1" applyFill="1" applyBorder="1" applyAlignment="1">
      <alignment horizontal="right"/>
    </xf>
    <xf numFmtId="2" fontId="0" fillId="32" borderId="193" xfId="0" applyNumberFormat="1" applyFill="1" applyBorder="1" applyAlignment="1">
      <alignment horizontal="right"/>
    </xf>
    <xf numFmtId="2" fontId="0" fillId="30" borderId="0" xfId="0" applyNumberFormat="1" applyFill="1" applyAlignment="1">
      <alignment horizontal="right"/>
    </xf>
    <xf numFmtId="2" fontId="0" fillId="32" borderId="192" xfId="0" applyNumberFormat="1" applyFill="1" applyBorder="1" applyAlignment="1">
      <alignment horizontal="right"/>
    </xf>
    <xf numFmtId="2" fontId="0" fillId="32" borderId="181" xfId="0" applyNumberFormat="1" applyFill="1" applyBorder="1" applyAlignment="1">
      <alignment horizontal="right"/>
    </xf>
    <xf numFmtId="2" fontId="0" fillId="32" borderId="191" xfId="0" applyNumberFormat="1" applyFill="1" applyBorder="1" applyAlignment="1">
      <alignment horizontal="right"/>
    </xf>
    <xf numFmtId="2" fontId="0" fillId="32" borderId="190" xfId="0" applyNumberFormat="1" applyFill="1" applyBorder="1" applyAlignment="1">
      <alignment horizontal="right"/>
    </xf>
    <xf numFmtId="178" fontId="0" fillId="32" borderId="187" xfId="0" applyNumberFormat="1" applyFill="1" applyBorder="1" applyAlignment="1">
      <alignment horizontal="right"/>
    </xf>
    <xf numFmtId="178" fontId="0" fillId="32" borderId="186" xfId="0" applyNumberFormat="1" applyFill="1" applyBorder="1" applyAlignment="1">
      <alignment horizontal="right"/>
    </xf>
    <xf numFmtId="0" fontId="73" fillId="30" borderId="137" xfId="0" quotePrefix="1" applyFont="1" applyFill="1" applyBorder="1" applyAlignment="1">
      <alignment vertical="center"/>
    </xf>
    <xf numFmtId="0" fontId="2" fillId="30" borderId="0" xfId="224" applyFill="1" applyProtection="1">
      <protection locked="0"/>
    </xf>
    <xf numFmtId="0" fontId="35" fillId="30" borderId="0" xfId="224" applyFont="1" applyFill="1" applyBorder="1" applyAlignment="1">
      <alignment vertical="center"/>
    </xf>
    <xf numFmtId="0" fontId="11" fillId="30" borderId="0" xfId="224" applyFont="1" applyFill="1" applyBorder="1" applyAlignment="1">
      <alignment vertical="center"/>
    </xf>
    <xf numFmtId="4" fontId="40" fillId="30" borderId="0" xfId="258" applyNumberFormat="1" applyFont="1" applyFill="1" applyBorder="1" applyAlignment="1">
      <alignment vertical="center"/>
    </xf>
    <xf numFmtId="0" fontId="40" fillId="30" borderId="0" xfId="258" applyFont="1" applyFill="1" applyBorder="1" applyAlignment="1">
      <alignment vertical="center"/>
    </xf>
    <xf numFmtId="4" fontId="37" fillId="30" borderId="0" xfId="259" applyNumberFormat="1" applyFont="1" applyFill="1" applyBorder="1" applyAlignment="1">
      <alignment horizontal="right" vertical="center"/>
    </xf>
    <xf numFmtId="0" fontId="11" fillId="30" borderId="0" xfId="259" applyFont="1" applyFill="1" applyBorder="1" applyAlignment="1">
      <alignment vertical="center"/>
    </xf>
    <xf numFmtId="0" fontId="11" fillId="30" borderId="0" xfId="267" applyFont="1" applyFill="1" applyBorder="1" applyAlignment="1">
      <alignment vertical="center"/>
    </xf>
    <xf numFmtId="0" fontId="62" fillId="30" borderId="0" xfId="0" applyFont="1" applyFill="1" applyBorder="1" applyAlignment="1">
      <alignment vertical="center"/>
    </xf>
    <xf numFmtId="0" fontId="2" fillId="30" borderId="0" xfId="231" applyFill="1" applyBorder="1" applyAlignment="1">
      <alignment horizontal="right" vertical="center"/>
    </xf>
    <xf numFmtId="0" fontId="2" fillId="30" borderId="0" xfId="224" applyFill="1" applyBorder="1" applyAlignment="1">
      <alignment vertical="center"/>
    </xf>
    <xf numFmtId="176" fontId="62" fillId="30" borderId="72" xfId="0" applyNumberFormat="1" applyFont="1" applyFill="1" applyBorder="1" applyAlignment="1">
      <alignment vertical="center"/>
    </xf>
    <xf numFmtId="176" fontId="62" fillId="30" borderId="48" xfId="0" applyNumberFormat="1" applyFont="1" applyFill="1" applyBorder="1" applyAlignment="1">
      <alignment vertical="center"/>
    </xf>
    <xf numFmtId="176" fontId="62" fillId="30" borderId="76" xfId="0" applyNumberFormat="1" applyFont="1" applyFill="1" applyBorder="1" applyAlignment="1">
      <alignment vertical="center"/>
    </xf>
    <xf numFmtId="176" fontId="62" fillId="30" borderId="31" xfId="0" applyNumberFormat="1" applyFont="1" applyFill="1" applyBorder="1" applyAlignment="1">
      <alignment vertical="center"/>
    </xf>
    <xf numFmtId="176" fontId="62" fillId="32" borderId="31" xfId="0" applyNumberFormat="1" applyFont="1" applyFill="1" applyBorder="1" applyAlignment="1">
      <alignment vertical="center"/>
    </xf>
    <xf numFmtId="176" fontId="62" fillId="32" borderId="72" xfId="0" applyNumberFormat="1" applyFont="1" applyFill="1" applyBorder="1" applyAlignment="1">
      <alignment vertical="center"/>
    </xf>
    <xf numFmtId="176" fontId="62" fillId="32" borderId="48" xfId="0" applyNumberFormat="1" applyFont="1" applyFill="1" applyBorder="1" applyAlignment="1">
      <alignment vertical="center"/>
    </xf>
    <xf numFmtId="176" fontId="62" fillId="32" borderId="76" xfId="0" applyNumberFormat="1" applyFont="1" applyFill="1" applyBorder="1" applyAlignment="1">
      <alignment vertical="center"/>
    </xf>
    <xf numFmtId="176" fontId="62" fillId="30" borderId="92" xfId="0" applyNumberFormat="1" applyFont="1" applyFill="1" applyBorder="1" applyAlignment="1">
      <alignment vertical="center"/>
    </xf>
    <xf numFmtId="176" fontId="62" fillId="30" borderId="54" xfId="0" applyNumberFormat="1" applyFont="1" applyFill="1" applyBorder="1" applyAlignment="1">
      <alignment vertical="center"/>
    </xf>
    <xf numFmtId="176" fontId="62" fillId="30" borderId="88" xfId="0" applyNumberFormat="1" applyFont="1" applyFill="1" applyBorder="1" applyAlignment="1">
      <alignment vertical="center"/>
    </xf>
    <xf numFmtId="176" fontId="62" fillId="30" borderId="182" xfId="0" applyNumberFormat="1" applyFont="1" applyFill="1" applyBorder="1" applyAlignment="1">
      <alignment vertical="center"/>
    </xf>
    <xf numFmtId="176" fontId="62" fillId="32" borderId="54" xfId="0" applyNumberFormat="1" applyFont="1" applyFill="1" applyBorder="1" applyAlignment="1">
      <alignment vertical="center"/>
    </xf>
    <xf numFmtId="176" fontId="62" fillId="32" borderId="88" xfId="0" applyNumberFormat="1" applyFont="1" applyFill="1" applyBorder="1" applyAlignment="1">
      <alignment vertical="center"/>
    </xf>
    <xf numFmtId="176" fontId="62" fillId="32" borderId="182" xfId="0" applyNumberFormat="1" applyFont="1" applyFill="1" applyBorder="1" applyAlignment="1">
      <alignment vertical="center"/>
    </xf>
    <xf numFmtId="176" fontId="62" fillId="30" borderId="78" xfId="0" applyNumberFormat="1" applyFont="1" applyFill="1" applyBorder="1" applyAlignment="1">
      <alignment vertical="center"/>
    </xf>
    <xf numFmtId="176" fontId="62" fillId="30" borderId="79" xfId="0" applyNumberFormat="1" applyFont="1" applyFill="1" applyBorder="1" applyAlignment="1">
      <alignment vertical="center"/>
    </xf>
    <xf numFmtId="176" fontId="62" fillId="30" borderId="80" xfId="0" applyNumberFormat="1" applyFont="1" applyFill="1" applyBorder="1" applyAlignment="1">
      <alignment vertical="center"/>
    </xf>
    <xf numFmtId="176" fontId="62" fillId="30" borderId="35" xfId="0" applyNumberFormat="1" applyFont="1" applyFill="1" applyBorder="1" applyAlignment="1">
      <alignment vertical="center"/>
    </xf>
    <xf numFmtId="176" fontId="62" fillId="30" borderId="30" xfId="0" applyNumberFormat="1" applyFont="1" applyFill="1" applyBorder="1" applyAlignment="1">
      <alignment vertical="center"/>
    </xf>
    <xf numFmtId="176" fontId="62" fillId="30" borderId="30" xfId="0" quotePrefix="1" applyNumberFormat="1" applyFont="1" applyFill="1" applyBorder="1" applyAlignment="1">
      <alignment vertical="center"/>
    </xf>
    <xf numFmtId="176" fontId="62" fillId="30" borderId="89" xfId="0" quotePrefix="1" applyNumberFormat="1" applyFont="1" applyFill="1" applyBorder="1" applyAlignment="1">
      <alignment vertical="center"/>
    </xf>
    <xf numFmtId="176" fontId="62" fillId="30" borderId="42" xfId="0" quotePrefix="1" applyNumberFormat="1" applyFont="1" applyFill="1" applyBorder="1" applyAlignment="1">
      <alignment vertical="center"/>
    </xf>
    <xf numFmtId="176" fontId="62" fillId="30" borderId="139" xfId="0" quotePrefix="1" applyNumberFormat="1" applyFont="1" applyFill="1" applyBorder="1" applyAlignment="1">
      <alignment vertical="center"/>
    </xf>
    <xf numFmtId="4" fontId="62" fillId="30" borderId="30" xfId="0" quotePrefix="1" applyNumberFormat="1" applyFont="1" applyFill="1" applyBorder="1" applyAlignment="1">
      <alignment vertical="center"/>
    </xf>
    <xf numFmtId="4" fontId="62" fillId="30" borderId="42" xfId="0" quotePrefix="1" applyNumberFormat="1" applyFont="1" applyFill="1" applyBorder="1" applyAlignment="1">
      <alignment vertical="center"/>
    </xf>
    <xf numFmtId="0" fontId="59" fillId="0" borderId="181" xfId="0" applyFont="1" applyBorder="1" applyAlignment="1" applyProtection="1">
      <alignment horizontal="center" vertical="center"/>
    </xf>
    <xf numFmtId="0" fontId="0" fillId="30" borderId="138" xfId="0" applyFill="1" applyBorder="1" applyAlignment="1">
      <alignment horizontal="left" vertical="center"/>
    </xf>
    <xf numFmtId="176" fontId="0" fillId="30" borderId="139" xfId="0" applyNumberFormat="1" applyFill="1" applyBorder="1" applyAlignment="1">
      <alignment horizontal="right" vertical="center"/>
    </xf>
    <xf numFmtId="176" fontId="0" fillId="30" borderId="138" xfId="0" applyNumberFormat="1" applyFill="1" applyBorder="1" applyAlignment="1">
      <alignment horizontal="right" vertical="center"/>
    </xf>
    <xf numFmtId="176" fontId="0" fillId="30" borderId="19" xfId="0" applyNumberFormat="1" applyFill="1" applyBorder="1"/>
    <xf numFmtId="0" fontId="62" fillId="30" borderId="145" xfId="0" applyFont="1" applyFill="1" applyBorder="1" applyAlignment="1">
      <alignment horizontal="center" vertical="center" wrapText="1"/>
    </xf>
    <xf numFmtId="177" fontId="0" fillId="30" borderId="89" xfId="0" applyNumberFormat="1" applyFill="1" applyBorder="1"/>
    <xf numFmtId="176" fontId="0" fillId="32" borderId="40" xfId="0" applyNumberFormat="1" applyFill="1" applyBorder="1"/>
    <xf numFmtId="176" fontId="0" fillId="32" borderId="71" xfId="0" applyNumberFormat="1" applyFill="1" applyBorder="1"/>
    <xf numFmtId="176" fontId="0" fillId="32" borderId="14" xfId="0" applyNumberFormat="1" applyFill="1" applyBorder="1"/>
    <xf numFmtId="0" fontId="0" fillId="32" borderId="40" xfId="0" applyNumberFormat="1" applyFill="1" applyBorder="1"/>
    <xf numFmtId="0" fontId="0" fillId="30" borderId="33" xfId="0" quotePrefix="1" applyFill="1" applyBorder="1"/>
    <xf numFmtId="0" fontId="0" fillId="30" borderId="30" xfId="0" applyNumberFormat="1" applyFill="1" applyBorder="1"/>
    <xf numFmtId="0" fontId="0" fillId="30" borderId="67" xfId="0" applyFill="1" applyBorder="1" applyAlignment="1">
      <alignment vertical="center"/>
    </xf>
    <xf numFmtId="0" fontId="0" fillId="30" borderId="57" xfId="0" applyFill="1" applyBorder="1" applyAlignment="1">
      <alignment horizontal="center" vertical="center"/>
    </xf>
    <xf numFmtId="0" fontId="0" fillId="30" borderId="137" xfId="0" applyFill="1" applyBorder="1" applyAlignment="1">
      <alignment horizontal="center" vertical="center"/>
    </xf>
    <xf numFmtId="0" fontId="0" fillId="30" borderId="25" xfId="0" applyFill="1" applyBorder="1" applyAlignment="1">
      <alignment vertical="center"/>
    </xf>
    <xf numFmtId="0" fontId="0" fillId="30" borderId="136" xfId="0" applyFill="1" applyBorder="1" applyAlignment="1">
      <alignment vertical="center"/>
    </xf>
    <xf numFmtId="176" fontId="0" fillId="30" borderId="0" xfId="0" applyNumberFormat="1" applyFill="1" applyAlignment="1">
      <alignment horizontal="center" vertical="center"/>
    </xf>
    <xf numFmtId="177" fontId="0" fillId="30" borderId="19" xfId="0" applyNumberFormat="1" applyFill="1" applyBorder="1"/>
    <xf numFmtId="10" fontId="56" fillId="30" borderId="76" xfId="158" applyNumberFormat="1" applyFont="1" applyFill="1" applyBorder="1" applyAlignment="1">
      <alignment horizontal="right" vertical="center"/>
    </xf>
    <xf numFmtId="10" fontId="0" fillId="30" borderId="74" xfId="158" applyNumberFormat="1" applyFont="1" applyFill="1" applyBorder="1" applyAlignment="1">
      <alignment horizontal="right" vertical="center"/>
    </xf>
    <xf numFmtId="10" fontId="0" fillId="30" borderId="91" xfId="158" applyNumberFormat="1" applyFont="1" applyFill="1" applyBorder="1" applyAlignment="1">
      <alignment horizontal="right" vertical="center"/>
    </xf>
    <xf numFmtId="0" fontId="0" fillId="30" borderId="0" xfId="0" applyFill="1" applyAlignment="1">
      <alignment horizontal="left" vertical="top" wrapText="1"/>
    </xf>
    <xf numFmtId="0" fontId="0" fillId="30" borderId="0" xfId="0" applyFill="1" applyAlignment="1">
      <alignment horizontal="left" vertical="center"/>
    </xf>
    <xf numFmtId="0" fontId="65" fillId="30" borderId="0" xfId="0" applyFont="1" applyFill="1" applyAlignment="1">
      <alignment horizontal="left" vertical="center"/>
    </xf>
    <xf numFmtId="0" fontId="0" fillId="30" borderId="0" xfId="0" applyFill="1" applyAlignment="1">
      <alignment horizontal="left" vertical="center" wrapText="1"/>
    </xf>
    <xf numFmtId="0" fontId="0" fillId="30" borderId="38" xfId="0" applyFill="1" applyBorder="1" applyAlignment="1">
      <alignment horizontal="center" vertical="center"/>
    </xf>
    <xf numFmtId="176" fontId="0" fillId="30" borderId="168" xfId="0" applyNumberFormat="1" applyFill="1" applyBorder="1" applyAlignment="1">
      <alignment horizontal="right" vertical="center"/>
    </xf>
    <xf numFmtId="176" fontId="0" fillId="30" borderId="169" xfId="0" applyNumberFormat="1" applyFill="1" applyBorder="1" applyAlignment="1">
      <alignment horizontal="right" vertical="center"/>
    </xf>
    <xf numFmtId="176" fontId="0" fillId="30" borderId="87" xfId="0" applyNumberFormat="1" applyFill="1" applyBorder="1" applyAlignment="1">
      <alignment horizontal="right" vertical="center"/>
    </xf>
    <xf numFmtId="176" fontId="0" fillId="30" borderId="91" xfId="0" applyNumberFormat="1" applyFill="1" applyBorder="1" applyAlignment="1">
      <alignment horizontal="right" vertical="center"/>
    </xf>
    <xf numFmtId="10" fontId="0" fillId="30" borderId="87" xfId="158" applyNumberFormat="1" applyFont="1" applyFill="1" applyBorder="1" applyAlignment="1">
      <alignment horizontal="center" vertical="center"/>
    </xf>
    <xf numFmtId="0" fontId="0" fillId="30" borderId="17" xfId="0" applyFill="1" applyBorder="1" applyAlignment="1">
      <alignment horizontal="center" vertical="center" wrapText="1"/>
    </xf>
    <xf numFmtId="0" fontId="0" fillId="30" borderId="101" xfId="0" applyFill="1" applyBorder="1" applyAlignment="1">
      <alignment horizontal="center" vertical="center" wrapText="1"/>
    </xf>
    <xf numFmtId="0" fontId="0" fillId="30" borderId="25" xfId="0" applyFill="1" applyBorder="1" applyAlignment="1">
      <alignment horizontal="center" vertical="center"/>
    </xf>
    <xf numFmtId="0" fontId="0" fillId="30" borderId="26" xfId="0" applyFill="1" applyBorder="1" applyAlignment="1">
      <alignment horizontal="center" vertical="center"/>
    </xf>
    <xf numFmtId="0" fontId="0" fillId="30" borderId="136" xfId="0" applyFill="1" applyBorder="1" applyAlignment="1">
      <alignment horizontal="center" vertical="center"/>
    </xf>
    <xf numFmtId="10" fontId="0" fillId="30" borderId="60" xfId="0" quotePrefix="1" applyNumberFormat="1" applyFill="1" applyBorder="1" applyAlignment="1">
      <alignment horizontal="center" vertical="center"/>
    </xf>
    <xf numFmtId="0" fontId="0" fillId="30" borderId="149" xfId="0" applyFill="1" applyBorder="1" applyAlignment="1">
      <alignment horizontal="center" vertical="center" wrapText="1"/>
    </xf>
    <xf numFmtId="0" fontId="0" fillId="30" borderId="87" xfId="0" applyFill="1" applyBorder="1" applyAlignment="1">
      <alignment horizontal="center" vertical="center" wrapText="1"/>
    </xf>
    <xf numFmtId="0" fontId="0" fillId="30" borderId="150" xfId="0" applyFill="1" applyBorder="1" applyAlignment="1">
      <alignment horizontal="center" vertical="center"/>
    </xf>
    <xf numFmtId="0" fontId="0" fillId="30" borderId="60" xfId="0" applyFill="1" applyBorder="1" applyAlignment="1">
      <alignment horizontal="center" vertical="center"/>
    </xf>
    <xf numFmtId="0" fontId="0" fillId="30" borderId="170" xfId="0" applyFill="1" applyBorder="1" applyAlignment="1">
      <alignment horizontal="center" vertical="center"/>
    </xf>
    <xf numFmtId="0" fontId="0" fillId="30" borderId="172" xfId="0" applyFill="1" applyBorder="1" applyAlignment="1">
      <alignment horizontal="center" vertical="center"/>
    </xf>
    <xf numFmtId="0" fontId="65" fillId="30" borderId="122" xfId="0" applyFont="1" applyFill="1" applyBorder="1" applyAlignment="1">
      <alignment horizontal="left" vertical="center"/>
    </xf>
    <xf numFmtId="4" fontId="11" fillId="30" borderId="0" xfId="258" applyNumberFormat="1" applyFont="1" applyFill="1" applyAlignment="1" applyProtection="1">
      <alignment horizontal="center" vertical="center"/>
    </xf>
    <xf numFmtId="176" fontId="0" fillId="30" borderId="91" xfId="0" applyNumberFormat="1" applyFill="1" applyBorder="1" applyAlignment="1">
      <alignment horizontal="right" vertical="center"/>
    </xf>
    <xf numFmtId="0" fontId="3" fillId="30" borderId="0" xfId="1" applyFont="1" applyFill="1" applyBorder="1" applyAlignment="1" applyProtection="1">
      <alignment horizontal="left" vertical="center"/>
    </xf>
    <xf numFmtId="0" fontId="0" fillId="30" borderId="66" xfId="0" applyFill="1" applyBorder="1" applyAlignment="1" applyProtection="1">
      <alignment vertical="center"/>
    </xf>
    <xf numFmtId="0" fontId="0" fillId="30" borderId="24" xfId="0" applyFill="1" applyBorder="1" applyAlignment="1" applyProtection="1">
      <alignment horizontal="left" vertical="center"/>
    </xf>
    <xf numFmtId="0" fontId="0" fillId="30" borderId="93" xfId="0" applyFill="1" applyBorder="1" applyAlignment="1" applyProtection="1">
      <alignment vertical="center"/>
    </xf>
    <xf numFmtId="0" fontId="60" fillId="30" borderId="0" xfId="0" applyFont="1" applyFill="1" applyAlignment="1" applyProtection="1">
      <alignment vertical="center"/>
    </xf>
    <xf numFmtId="0" fontId="0" fillId="30" borderId="0" xfId="0" quotePrefix="1" applyFill="1" applyAlignment="1" applyProtection="1">
      <alignment vertical="center"/>
    </xf>
    <xf numFmtId="9" fontId="0" fillId="30" borderId="19" xfId="0" applyNumberFormat="1" applyFill="1" applyBorder="1" applyAlignment="1" applyProtection="1">
      <alignment horizontal="center" vertical="center"/>
    </xf>
    <xf numFmtId="2" fontId="0" fillId="0" borderId="19" xfId="0" applyNumberFormat="1" applyFill="1" applyBorder="1" applyAlignment="1" applyProtection="1">
      <alignment horizontal="center" vertical="center"/>
    </xf>
    <xf numFmtId="0" fontId="0" fillId="30" borderId="19" xfId="0" applyFill="1" applyBorder="1" applyAlignment="1" applyProtection="1">
      <alignment horizontal="center" vertical="center"/>
    </xf>
    <xf numFmtId="0" fontId="60" fillId="30" borderId="0" xfId="0" quotePrefix="1" applyFont="1" applyFill="1" applyAlignment="1" applyProtection="1">
      <alignment vertical="center"/>
    </xf>
    <xf numFmtId="9" fontId="0" fillId="30" borderId="0" xfId="0" applyNumberFormat="1" applyFill="1" applyAlignment="1" applyProtection="1">
      <alignment horizontal="center" vertical="center"/>
    </xf>
    <xf numFmtId="0" fontId="0" fillId="30" borderId="0" xfId="0" quotePrefix="1" applyFont="1" applyFill="1" applyAlignment="1" applyProtection="1">
      <alignment vertical="center"/>
    </xf>
    <xf numFmtId="0" fontId="70" fillId="30" borderId="0" xfId="0" applyFont="1" applyFill="1" applyAlignment="1" applyProtection="1">
      <alignment vertical="center"/>
    </xf>
    <xf numFmtId="9" fontId="0" fillId="30" borderId="0" xfId="0" applyNumberFormat="1" applyFill="1" applyBorder="1" applyAlignment="1" applyProtection="1">
      <alignment horizontal="center" vertical="center"/>
    </xf>
    <xf numFmtId="0" fontId="60" fillId="30" borderId="0" xfId="0" quotePrefix="1" applyFont="1" applyFill="1" applyBorder="1" applyAlignment="1" applyProtection="1">
      <alignment vertical="center"/>
    </xf>
    <xf numFmtId="0" fontId="0" fillId="30" borderId="0" xfId="0" quotePrefix="1" applyFont="1" applyFill="1" applyBorder="1" applyAlignment="1" applyProtection="1">
      <alignment vertical="center"/>
    </xf>
    <xf numFmtId="180" fontId="0" fillId="30" borderId="19" xfId="0" applyNumberFormat="1" applyFill="1" applyBorder="1" applyAlignment="1" applyProtection="1">
      <alignment horizontal="center" vertical="center"/>
    </xf>
    <xf numFmtId="176" fontId="0" fillId="33" borderId="144" xfId="0" applyNumberFormat="1" applyFill="1" applyBorder="1" applyAlignment="1" applyProtection="1">
      <alignment horizontal="center" vertical="center"/>
      <protection locked="0"/>
    </xf>
    <xf numFmtId="4" fontId="0" fillId="33" borderId="144" xfId="0" applyNumberFormat="1" applyFill="1" applyBorder="1" applyAlignment="1" applyProtection="1">
      <alignment horizontal="center" vertical="center"/>
      <protection locked="0"/>
    </xf>
    <xf numFmtId="177" fontId="0" fillId="33" borderId="144" xfId="0" applyNumberFormat="1" applyFill="1" applyBorder="1" applyAlignment="1" applyProtection="1">
      <alignment horizontal="center" vertical="center"/>
      <protection locked="0"/>
    </xf>
    <xf numFmtId="0" fontId="0" fillId="33" borderId="88" xfId="0" applyFill="1" applyBorder="1" applyAlignment="1" applyProtection="1">
      <alignment horizontal="center" vertical="center"/>
      <protection locked="0"/>
    </xf>
    <xf numFmtId="0" fontId="0" fillId="33" borderId="153" xfId="0" applyFill="1" applyBorder="1" applyAlignment="1" applyProtection="1">
      <alignment horizontal="left" vertical="center"/>
      <protection locked="0"/>
    </xf>
    <xf numFmtId="0" fontId="0" fillId="33" borderId="88" xfId="0" applyFill="1" applyBorder="1" applyAlignment="1" applyProtection="1">
      <alignment horizontal="left" vertical="center"/>
      <protection locked="0"/>
    </xf>
    <xf numFmtId="0" fontId="0" fillId="33" borderId="92" xfId="0" applyFill="1" applyBorder="1" applyAlignment="1" applyProtection="1">
      <alignment horizontal="center" vertical="center"/>
      <protection locked="0"/>
    </xf>
    <xf numFmtId="4" fontId="0" fillId="33" borderId="92" xfId="0" applyNumberFormat="1" applyFill="1" applyBorder="1" applyAlignment="1" applyProtection="1">
      <alignment horizontal="right" vertical="center"/>
      <protection locked="0"/>
    </xf>
    <xf numFmtId="4" fontId="0" fillId="33" borderId="88" xfId="0" applyNumberFormat="1" applyFill="1" applyBorder="1" applyAlignment="1" applyProtection="1">
      <alignment horizontal="right" vertical="center"/>
      <protection locked="0"/>
    </xf>
    <xf numFmtId="0" fontId="0" fillId="33" borderId="34" xfId="0" applyFill="1" applyBorder="1" applyAlignment="1" applyProtection="1">
      <alignment horizontal="left" vertical="center"/>
      <protection locked="0"/>
    </xf>
    <xf numFmtId="0" fontId="0" fillId="33" borderId="80" xfId="0" applyFill="1" applyBorder="1" applyAlignment="1" applyProtection="1">
      <alignment horizontal="left" vertical="center"/>
      <protection locked="0"/>
    </xf>
    <xf numFmtId="0" fontId="0" fillId="33" borderId="78" xfId="0" applyFill="1" applyBorder="1" applyAlignment="1" applyProtection="1">
      <alignment horizontal="center" vertical="center"/>
      <protection locked="0"/>
    </xf>
    <xf numFmtId="0" fontId="0" fillId="33" borderId="80" xfId="0" applyFill="1" applyBorder="1" applyAlignment="1" applyProtection="1">
      <alignment horizontal="center" vertical="center"/>
      <protection locked="0"/>
    </xf>
    <xf numFmtId="4" fontId="0" fillId="33" borderId="78" xfId="0" applyNumberFormat="1" applyFill="1" applyBorder="1" applyAlignment="1" applyProtection="1">
      <alignment horizontal="right" vertical="center"/>
      <protection locked="0"/>
    </xf>
    <xf numFmtId="4" fontId="0" fillId="33" borderId="80" xfId="0" applyNumberFormat="1" applyFill="1" applyBorder="1" applyAlignment="1" applyProtection="1">
      <alignment horizontal="right" vertical="center"/>
      <protection locked="0"/>
    </xf>
    <xf numFmtId="4" fontId="0" fillId="33" borderId="82" xfId="0" applyNumberFormat="1" applyFill="1" applyBorder="1" applyAlignment="1" applyProtection="1">
      <alignment horizontal="right" vertical="center"/>
      <protection locked="0"/>
    </xf>
    <xf numFmtId="4" fontId="0" fillId="33" borderId="83" xfId="0" applyNumberFormat="1" applyFill="1" applyBorder="1" applyAlignment="1" applyProtection="1">
      <alignment horizontal="right" vertical="center"/>
      <protection locked="0"/>
    </xf>
    <xf numFmtId="4" fontId="0" fillId="33" borderId="52" xfId="0" applyNumberFormat="1" applyFill="1" applyBorder="1" applyAlignment="1" applyProtection="1">
      <alignment horizontal="right" vertical="center"/>
      <protection locked="0"/>
    </xf>
    <xf numFmtId="4" fontId="0" fillId="33" borderId="72" xfId="0" applyNumberFormat="1" applyFill="1" applyBorder="1" applyAlignment="1" applyProtection="1">
      <alignment horizontal="right" vertical="center"/>
      <protection locked="0"/>
    </xf>
    <xf numFmtId="4" fontId="0" fillId="33" borderId="48" xfId="0" applyNumberFormat="1" applyFill="1" applyBorder="1" applyAlignment="1" applyProtection="1">
      <alignment horizontal="right" vertical="center"/>
      <protection locked="0"/>
    </xf>
    <xf numFmtId="4" fontId="0" fillId="33" borderId="76" xfId="0" applyNumberFormat="1" applyFill="1" applyBorder="1" applyAlignment="1" applyProtection="1">
      <alignment horizontal="right" vertical="center"/>
      <protection locked="0"/>
    </xf>
    <xf numFmtId="0" fontId="0" fillId="33" borderId="76" xfId="0" applyFill="1" applyBorder="1" applyAlignment="1" applyProtection="1">
      <alignment horizontal="center" vertical="center"/>
      <protection locked="0"/>
    </xf>
    <xf numFmtId="0" fontId="0" fillId="33" borderId="39" xfId="0" applyFill="1" applyBorder="1" applyAlignment="1" applyProtection="1">
      <alignment horizontal="left" vertical="center"/>
      <protection locked="0"/>
    </xf>
    <xf numFmtId="0" fontId="0" fillId="33" borderId="72" xfId="0" applyFill="1" applyBorder="1" applyAlignment="1" applyProtection="1">
      <alignment horizontal="left" vertical="center"/>
      <protection locked="0"/>
    </xf>
    <xf numFmtId="0" fontId="0" fillId="33" borderId="48" xfId="0" applyFill="1" applyBorder="1" applyAlignment="1" applyProtection="1">
      <alignment horizontal="left" vertical="center"/>
      <protection locked="0"/>
    </xf>
    <xf numFmtId="0" fontId="0" fillId="33" borderId="76" xfId="0" applyFill="1" applyBorder="1" applyAlignment="1" applyProtection="1">
      <alignment horizontal="left" vertical="center"/>
      <protection locked="0"/>
    </xf>
    <xf numFmtId="0" fontId="0" fillId="33" borderId="78" xfId="0" applyFill="1" applyBorder="1" applyAlignment="1" applyProtection="1">
      <alignment horizontal="left" vertical="center"/>
      <protection locked="0"/>
    </xf>
    <xf numFmtId="0" fontId="0" fillId="33" borderId="79" xfId="0" applyFill="1" applyBorder="1" applyAlignment="1" applyProtection="1">
      <alignment horizontal="left" vertical="center"/>
      <protection locked="0"/>
    </xf>
    <xf numFmtId="4" fontId="0" fillId="33" borderId="79" xfId="0" applyNumberFormat="1" applyFill="1" applyBorder="1" applyAlignment="1" applyProtection="1">
      <alignment horizontal="right" vertical="center"/>
      <protection locked="0"/>
    </xf>
    <xf numFmtId="4" fontId="0" fillId="33" borderId="76" xfId="0" applyNumberFormat="1" applyFill="1" applyBorder="1" applyAlignment="1" applyProtection="1">
      <alignment horizontal="center" vertical="center"/>
      <protection locked="0"/>
    </xf>
    <xf numFmtId="4" fontId="0" fillId="33" borderId="72" xfId="0" applyNumberFormat="1" applyFill="1" applyBorder="1" applyAlignment="1" applyProtection="1">
      <alignment horizontal="center" vertical="center"/>
      <protection locked="0"/>
    </xf>
    <xf numFmtId="4" fontId="0" fillId="33" borderId="55" xfId="0" applyNumberFormat="1" applyFill="1" applyBorder="1" applyAlignment="1" applyProtection="1">
      <alignment horizontal="right" vertical="center"/>
      <protection locked="0"/>
    </xf>
    <xf numFmtId="4" fontId="0" fillId="33" borderId="80" xfId="0" applyNumberFormat="1" applyFill="1" applyBorder="1" applyAlignment="1" applyProtection="1">
      <alignment horizontal="center" vertical="center"/>
      <protection locked="0"/>
    </xf>
    <xf numFmtId="4" fontId="0" fillId="33" borderId="78" xfId="0" applyNumberFormat="1" applyFill="1" applyBorder="1" applyAlignment="1" applyProtection="1">
      <alignment horizontal="center" vertical="center"/>
      <protection locked="0"/>
    </xf>
    <xf numFmtId="4" fontId="0" fillId="33" borderId="69" xfId="0" applyNumberFormat="1" applyFill="1" applyBorder="1" applyAlignment="1" applyProtection="1">
      <alignment horizontal="right" vertical="center"/>
      <protection locked="0"/>
    </xf>
    <xf numFmtId="10" fontId="0" fillId="33" borderId="92" xfId="0" applyNumberFormat="1" applyFill="1" applyBorder="1" applyAlignment="1" applyProtection="1">
      <alignment horizontal="right" vertical="center"/>
      <protection locked="0"/>
    </xf>
    <xf numFmtId="10" fontId="0" fillId="33" borderId="105" xfId="0" applyNumberFormat="1" applyFill="1" applyBorder="1" applyAlignment="1" applyProtection="1">
      <alignment horizontal="right" vertical="center"/>
      <protection locked="0"/>
    </xf>
    <xf numFmtId="10" fontId="0" fillId="33" borderId="78" xfId="0" applyNumberFormat="1" applyFill="1" applyBorder="1" applyAlignment="1" applyProtection="1">
      <alignment horizontal="right" vertical="center"/>
      <protection locked="0"/>
    </xf>
    <xf numFmtId="10" fontId="0" fillId="33" borderId="69" xfId="0" applyNumberFormat="1" applyFill="1" applyBorder="1" applyAlignment="1" applyProtection="1">
      <alignment horizontal="right" vertical="center"/>
      <protection locked="0"/>
    </xf>
    <xf numFmtId="10" fontId="0" fillId="33" borderId="72" xfId="0" applyNumberFormat="1" applyFill="1" applyBorder="1" applyAlignment="1" applyProtection="1">
      <alignment horizontal="right" vertical="center"/>
      <protection locked="0"/>
    </xf>
    <xf numFmtId="10" fontId="0" fillId="33" borderId="48" xfId="0" applyNumberFormat="1" applyFill="1" applyBorder="1" applyAlignment="1" applyProtection="1">
      <alignment horizontal="right" vertical="center"/>
      <protection locked="0"/>
    </xf>
    <xf numFmtId="10" fontId="0" fillId="33" borderId="55" xfId="0" applyNumberFormat="1" applyFill="1" applyBorder="1" applyAlignment="1" applyProtection="1">
      <alignment horizontal="right" vertical="center"/>
      <protection locked="0"/>
    </xf>
    <xf numFmtId="10" fontId="0" fillId="33" borderId="79" xfId="0" applyNumberFormat="1" applyFill="1" applyBorder="1" applyAlignment="1" applyProtection="1">
      <alignment horizontal="right" vertical="center"/>
      <protection locked="0"/>
    </xf>
    <xf numFmtId="0" fontId="0" fillId="30" borderId="0" xfId="0" applyFill="1" applyProtection="1"/>
    <xf numFmtId="0" fontId="70" fillId="30" borderId="0" xfId="0" applyFont="1" applyFill="1" applyProtection="1"/>
    <xf numFmtId="0" fontId="0" fillId="30" borderId="22" xfId="0" applyFill="1" applyBorder="1" applyAlignment="1" applyProtection="1">
      <alignment horizontal="center" vertical="center"/>
    </xf>
    <xf numFmtId="0" fontId="0" fillId="30" borderId="90" xfId="0" applyFill="1" applyBorder="1" applyAlignment="1" applyProtection="1">
      <alignment horizontal="center" vertical="center" wrapText="1"/>
    </xf>
    <xf numFmtId="0" fontId="0" fillId="30" borderId="145" xfId="0" applyFill="1" applyBorder="1" applyAlignment="1" applyProtection="1">
      <alignment horizontal="center" vertical="center" wrapText="1"/>
    </xf>
    <xf numFmtId="0" fontId="0" fillId="30" borderId="87" xfId="0" applyFill="1" applyBorder="1" applyAlignment="1" applyProtection="1">
      <alignment horizontal="center" vertical="center" wrapText="1"/>
    </xf>
    <xf numFmtId="0" fontId="0" fillId="30" borderId="60" xfId="0" applyFill="1" applyBorder="1" applyAlignment="1" applyProtection="1">
      <alignment horizontal="center" vertical="center" wrapText="1"/>
    </xf>
    <xf numFmtId="0" fontId="0" fillId="30" borderId="91" xfId="0" applyFill="1" applyBorder="1" applyAlignment="1" applyProtection="1">
      <alignment horizontal="center" vertical="center" wrapText="1"/>
    </xf>
    <xf numFmtId="0" fontId="0" fillId="30" borderId="139" xfId="0" applyFill="1" applyBorder="1" applyAlignment="1" applyProtection="1">
      <alignment horizontal="center" vertical="center" wrapText="1"/>
    </xf>
    <xf numFmtId="0" fontId="0" fillId="30" borderId="22" xfId="0" applyFill="1" applyBorder="1" applyAlignment="1" applyProtection="1">
      <alignment horizontal="center" vertical="center" wrapText="1"/>
    </xf>
    <xf numFmtId="0" fontId="0" fillId="30" borderId="38" xfId="0" applyFill="1" applyBorder="1" applyAlignment="1" applyProtection="1">
      <alignment vertical="center"/>
    </xf>
    <xf numFmtId="0" fontId="86" fillId="30" borderId="38" xfId="0" applyFont="1" applyFill="1" applyBorder="1" applyAlignment="1" applyProtection="1">
      <alignment vertical="center"/>
    </xf>
    <xf numFmtId="4" fontId="0" fillId="30" borderId="84" xfId="0" applyNumberFormat="1" applyFill="1" applyBorder="1" applyAlignment="1" applyProtection="1">
      <alignment vertical="center"/>
    </xf>
    <xf numFmtId="4" fontId="0" fillId="30" borderId="104" xfId="0" applyNumberFormat="1" applyFill="1" applyBorder="1" applyAlignment="1" applyProtection="1">
      <alignment vertical="center"/>
    </xf>
    <xf numFmtId="4" fontId="0" fillId="30" borderId="82" xfId="0" applyNumberFormat="1" applyFill="1" applyBorder="1" applyAlignment="1" applyProtection="1">
      <alignment vertical="center"/>
    </xf>
    <xf numFmtId="4" fontId="0" fillId="30" borderId="82" xfId="0" applyNumberFormat="1" applyFill="1" applyBorder="1" applyAlignment="1" applyProtection="1">
      <alignment vertical="center" wrapText="1"/>
    </xf>
    <xf numFmtId="0" fontId="0" fillId="30" borderId="0" xfId="0" applyFill="1" applyAlignment="1" applyProtection="1"/>
    <xf numFmtId="0" fontId="0" fillId="30" borderId="14" xfId="0" applyFill="1" applyBorder="1" applyAlignment="1" applyProtection="1">
      <alignment vertical="center"/>
    </xf>
    <xf numFmtId="0" fontId="86" fillId="30" borderId="14" xfId="0" applyFont="1" applyFill="1" applyBorder="1" applyAlignment="1" applyProtection="1">
      <alignment vertical="center"/>
    </xf>
    <xf numFmtId="4" fontId="0" fillId="30" borderId="30" xfId="0" applyNumberFormat="1" applyFill="1" applyBorder="1" applyAlignment="1" applyProtection="1">
      <alignment vertical="center"/>
    </xf>
    <xf numFmtId="4" fontId="0" fillId="30" borderId="63" xfId="0" applyNumberFormat="1" applyFill="1" applyBorder="1" applyAlignment="1" applyProtection="1">
      <alignment vertical="center"/>
    </xf>
    <xf numFmtId="4" fontId="0" fillId="30" borderId="72" xfId="0" applyNumberFormat="1" applyFill="1" applyBorder="1" applyAlignment="1" applyProtection="1">
      <alignment vertical="center"/>
    </xf>
    <xf numFmtId="4" fontId="0" fillId="30" borderId="72" xfId="0" applyNumberFormat="1" applyFill="1" applyBorder="1" applyAlignment="1" applyProtection="1">
      <alignment vertical="center" wrapText="1"/>
    </xf>
    <xf numFmtId="0" fontId="0" fillId="30" borderId="14" xfId="0" applyFont="1" applyFill="1" applyBorder="1" applyAlignment="1" applyProtection="1"/>
    <xf numFmtId="0" fontId="86" fillId="30" borderId="14" xfId="0" applyFont="1" applyFill="1" applyBorder="1" applyAlignment="1" applyProtection="1"/>
    <xf numFmtId="4" fontId="0" fillId="32" borderId="72" xfId="0" applyNumberFormat="1" applyFill="1" applyBorder="1" applyAlignment="1" applyProtection="1">
      <alignment vertical="center"/>
    </xf>
    <xf numFmtId="4" fontId="0" fillId="32" borderId="72" xfId="0" applyNumberFormat="1" applyFill="1" applyBorder="1" applyAlignment="1" applyProtection="1">
      <alignment vertical="center" wrapText="1"/>
    </xf>
    <xf numFmtId="0" fontId="0" fillId="30" borderId="14" xfId="0" applyFill="1" applyBorder="1" applyProtection="1"/>
    <xf numFmtId="0" fontId="86" fillId="30" borderId="14" xfId="0" applyFont="1" applyFill="1" applyBorder="1" applyProtection="1"/>
    <xf numFmtId="4" fontId="0" fillId="30" borderId="30" xfId="0" applyNumberFormat="1" applyFill="1" applyBorder="1" applyProtection="1"/>
    <xf numFmtId="4" fontId="0" fillId="30" borderId="63" xfId="0" applyNumberFormat="1" applyFill="1" applyBorder="1" applyProtection="1"/>
    <xf numFmtId="4" fontId="0" fillId="30" borderId="72" xfId="0" applyNumberFormat="1" applyFill="1" applyBorder="1" applyProtection="1"/>
    <xf numFmtId="4" fontId="0" fillId="32" borderId="72" xfId="0" applyNumberFormat="1" applyFill="1" applyBorder="1" applyProtection="1"/>
    <xf numFmtId="0" fontId="0" fillId="30" borderId="33" xfId="0" applyFill="1" applyBorder="1" applyProtection="1"/>
    <xf numFmtId="0" fontId="86" fillId="30" borderId="33" xfId="0" applyFont="1" applyFill="1" applyBorder="1" applyProtection="1"/>
    <xf numFmtId="4" fontId="0" fillId="30" borderId="89" xfId="0" applyNumberFormat="1" applyFill="1" applyBorder="1" applyProtection="1"/>
    <xf numFmtId="4" fontId="0" fillId="30" borderId="146" xfId="0" applyNumberFormat="1" applyFill="1" applyBorder="1" applyProtection="1"/>
    <xf numFmtId="4" fontId="0" fillId="32" borderId="92" xfId="0" applyNumberFormat="1" applyFill="1" applyBorder="1" applyProtection="1"/>
    <xf numFmtId="4" fontId="0" fillId="30" borderId="92" xfId="0" applyNumberFormat="1" applyFill="1" applyBorder="1" applyProtection="1"/>
    <xf numFmtId="4" fontId="0" fillId="30" borderId="0" xfId="0" applyNumberFormat="1" applyFill="1" applyProtection="1"/>
    <xf numFmtId="0" fontId="65" fillId="30" borderId="109" xfId="0" applyFont="1" applyFill="1" applyBorder="1" applyProtection="1"/>
    <xf numFmtId="0" fontId="65" fillId="30" borderId="119" xfId="0" applyFont="1" applyFill="1" applyBorder="1" applyProtection="1"/>
    <xf numFmtId="4" fontId="65" fillId="30" borderId="110" xfId="0" applyNumberFormat="1" applyFont="1" applyFill="1" applyBorder="1" applyProtection="1"/>
    <xf numFmtId="4" fontId="65" fillId="30" borderId="111" xfId="0" applyNumberFormat="1" applyFont="1" applyFill="1" applyBorder="1" applyProtection="1"/>
    <xf numFmtId="4" fontId="65" fillId="30" borderId="112" xfId="0" applyNumberFormat="1" applyFont="1" applyFill="1" applyBorder="1" applyProtection="1"/>
    <xf numFmtId="4" fontId="65" fillId="32" borderId="154" xfId="0" applyNumberFormat="1" applyFont="1" applyFill="1" applyBorder="1" applyProtection="1"/>
    <xf numFmtId="4" fontId="65" fillId="32" borderId="111" xfId="0" applyNumberFormat="1" applyFont="1" applyFill="1" applyBorder="1" applyProtection="1"/>
    <xf numFmtId="4" fontId="65" fillId="32" borderId="112" xfId="0" applyNumberFormat="1" applyFont="1" applyFill="1" applyBorder="1" applyProtection="1"/>
    <xf numFmtId="4" fontId="65" fillId="32" borderId="110" xfId="0" applyNumberFormat="1" applyFont="1" applyFill="1" applyBorder="1" applyProtection="1"/>
    <xf numFmtId="4" fontId="65" fillId="32" borderId="113" xfId="0" applyNumberFormat="1" applyFont="1" applyFill="1" applyBorder="1" applyProtection="1"/>
    <xf numFmtId="0" fontId="65" fillId="30" borderId="203" xfId="0" applyFont="1" applyFill="1" applyBorder="1" applyProtection="1"/>
    <xf numFmtId="0" fontId="65" fillId="30" borderId="0" xfId="0" applyFont="1" applyFill="1" applyBorder="1" applyProtection="1"/>
    <xf numFmtId="4" fontId="65" fillId="30" borderId="204" xfId="0" applyNumberFormat="1" applyFont="1" applyFill="1" applyBorder="1" applyProtection="1"/>
    <xf numFmtId="4" fontId="65" fillId="30" borderId="56" xfId="0" applyNumberFormat="1" applyFont="1" applyFill="1" applyBorder="1" applyProtection="1"/>
    <xf numFmtId="4" fontId="65" fillId="30" borderId="205" xfId="0" applyNumberFormat="1" applyFont="1" applyFill="1" applyBorder="1" applyProtection="1"/>
    <xf numFmtId="4" fontId="65" fillId="30" borderId="46" xfId="0" applyNumberFormat="1" applyFont="1" applyFill="1" applyBorder="1" applyProtection="1"/>
    <xf numFmtId="4" fontId="65" fillId="32" borderId="204" xfId="0" applyNumberFormat="1" applyFont="1" applyFill="1" applyBorder="1" applyProtection="1"/>
    <xf numFmtId="4" fontId="65" fillId="32" borderId="206" xfId="0" applyNumberFormat="1" applyFont="1" applyFill="1" applyBorder="1" applyProtection="1"/>
    <xf numFmtId="0" fontId="65" fillId="30" borderId="114" xfId="0" applyFont="1" applyFill="1" applyBorder="1" applyProtection="1"/>
    <xf numFmtId="0" fontId="65" fillId="30" borderId="125" xfId="0" applyFont="1" applyFill="1" applyBorder="1" applyProtection="1"/>
    <xf numFmtId="4" fontId="65" fillId="30" borderId="115" xfId="0" applyNumberFormat="1" applyFont="1" applyFill="1" applyBorder="1" applyProtection="1"/>
    <xf numFmtId="4" fontId="65" fillId="30" borderId="116" xfId="0" applyNumberFormat="1" applyFont="1" applyFill="1" applyBorder="1" applyProtection="1"/>
    <xf numFmtId="4" fontId="65" fillId="30" borderId="117" xfId="0" applyNumberFormat="1" applyFont="1" applyFill="1" applyBorder="1" applyProtection="1"/>
    <xf numFmtId="4" fontId="65" fillId="30" borderId="155" xfId="0" applyNumberFormat="1" applyFont="1" applyFill="1" applyBorder="1" applyProtection="1"/>
    <xf numFmtId="4" fontId="65" fillId="32" borderId="115" xfId="0" applyNumberFormat="1" applyFont="1" applyFill="1" applyBorder="1" applyProtection="1"/>
    <xf numFmtId="4" fontId="65" fillId="32" borderId="118" xfId="0" applyNumberFormat="1" applyFont="1" applyFill="1" applyBorder="1" applyProtection="1"/>
    <xf numFmtId="4" fontId="0" fillId="33" borderId="52" xfId="0" applyNumberFormat="1" applyFill="1" applyBorder="1" applyAlignment="1" applyProtection="1">
      <alignment vertical="center" wrapText="1"/>
      <protection locked="0"/>
    </xf>
    <xf numFmtId="4" fontId="0" fillId="33" borderId="83" xfId="0" applyNumberFormat="1" applyFill="1" applyBorder="1" applyAlignment="1" applyProtection="1">
      <alignment vertical="center" wrapText="1"/>
      <protection locked="0"/>
    </xf>
    <xf numFmtId="4" fontId="0" fillId="33" borderId="48" xfId="0" applyNumberFormat="1" applyFill="1" applyBorder="1" applyAlignment="1" applyProtection="1">
      <alignment vertical="center" wrapText="1"/>
      <protection locked="0"/>
    </xf>
    <xf numFmtId="4" fontId="0" fillId="33" borderId="76" xfId="0" applyNumberFormat="1" applyFill="1" applyBorder="1" applyAlignment="1" applyProtection="1">
      <alignment vertical="center" wrapText="1"/>
      <protection locked="0"/>
    </xf>
    <xf numFmtId="4" fontId="0" fillId="34" borderId="48" xfId="0" applyNumberFormat="1" applyFill="1" applyBorder="1" applyAlignment="1" applyProtection="1">
      <alignment vertical="center" wrapText="1"/>
      <protection locked="0"/>
    </xf>
    <xf numFmtId="4" fontId="0" fillId="34" borderId="76" xfId="0" applyNumberFormat="1" applyFill="1" applyBorder="1" applyAlignment="1" applyProtection="1">
      <alignment vertical="center" wrapText="1"/>
      <protection locked="0"/>
    </xf>
    <xf numFmtId="4" fontId="0" fillId="33" borderId="48" xfId="0" applyNumberFormat="1" applyFill="1" applyBorder="1" applyProtection="1">
      <protection locked="0"/>
    </xf>
    <xf numFmtId="4" fontId="0" fillId="33" borderId="76" xfId="0" applyNumberFormat="1" applyFill="1" applyBorder="1" applyProtection="1">
      <protection locked="0"/>
    </xf>
    <xf numFmtId="4" fontId="0" fillId="34" borderId="48" xfId="0" applyNumberFormat="1" applyFill="1" applyBorder="1" applyProtection="1">
      <protection locked="0"/>
    </xf>
    <xf numFmtId="4" fontId="0" fillId="34" borderId="76" xfId="0" applyNumberFormat="1" applyFill="1" applyBorder="1" applyProtection="1">
      <protection locked="0"/>
    </xf>
    <xf numFmtId="4" fontId="0" fillId="34" borderId="54" xfId="0" applyNumberFormat="1" applyFill="1" applyBorder="1" applyProtection="1">
      <protection locked="0"/>
    </xf>
    <xf numFmtId="4" fontId="0" fillId="34" borderId="88" xfId="0" applyNumberFormat="1" applyFill="1" applyBorder="1" applyProtection="1">
      <protection locked="0"/>
    </xf>
    <xf numFmtId="4" fontId="0" fillId="34" borderId="84" xfId="0" applyNumberFormat="1" applyFill="1" applyBorder="1" applyAlignment="1" applyProtection="1">
      <alignment vertical="center" wrapText="1"/>
      <protection locked="0"/>
    </xf>
    <xf numFmtId="4" fontId="0" fillId="34" borderId="38" xfId="0" applyNumberFormat="1" applyFill="1" applyBorder="1" applyAlignment="1" applyProtection="1">
      <alignment vertical="center" wrapText="1"/>
      <protection locked="0"/>
    </xf>
    <xf numFmtId="4" fontId="0" fillId="34" borderId="30" xfId="0" applyNumberFormat="1" applyFill="1" applyBorder="1" applyAlignment="1" applyProtection="1">
      <alignment vertical="center" wrapText="1"/>
      <protection locked="0"/>
    </xf>
    <xf numFmtId="4" fontId="0" fillId="34" borderId="14" xfId="0" applyNumberFormat="1" applyFill="1" applyBorder="1" applyAlignment="1" applyProtection="1">
      <alignment vertical="center" wrapText="1"/>
      <protection locked="0"/>
    </xf>
    <xf numFmtId="4" fontId="0" fillId="33" borderId="30" xfId="0" applyNumberFormat="1" applyFill="1" applyBorder="1" applyAlignment="1" applyProtection="1">
      <alignment vertical="center" wrapText="1"/>
      <protection locked="0"/>
    </xf>
    <xf numFmtId="4" fontId="0" fillId="33" borderId="14" xfId="0" applyNumberFormat="1" applyFill="1" applyBorder="1" applyAlignment="1" applyProtection="1">
      <alignment vertical="center" wrapText="1"/>
      <protection locked="0"/>
    </xf>
    <xf numFmtId="4" fontId="0" fillId="34" borderId="30" xfId="0" applyNumberFormat="1" applyFill="1" applyBorder="1" applyProtection="1">
      <protection locked="0"/>
    </xf>
    <xf numFmtId="4" fontId="0" fillId="34" borderId="14" xfId="0" applyNumberFormat="1" applyFill="1" applyBorder="1" applyProtection="1">
      <protection locked="0"/>
    </xf>
    <xf numFmtId="4" fontId="0" fillId="33" borderId="30" xfId="0" applyNumberFormat="1" applyFill="1" applyBorder="1" applyProtection="1">
      <protection locked="0"/>
    </xf>
    <xf numFmtId="4" fontId="0" fillId="33" borderId="14" xfId="0" applyNumberFormat="1" applyFill="1" applyBorder="1" applyProtection="1">
      <protection locked="0"/>
    </xf>
    <xf numFmtId="4" fontId="0" fillId="34" borderId="89" xfId="0" applyNumberFormat="1" applyFill="1" applyBorder="1" applyProtection="1">
      <protection locked="0"/>
    </xf>
    <xf numFmtId="4" fontId="0" fillId="34" borderId="33" xfId="0" applyNumberFormat="1" applyFill="1" applyBorder="1" applyProtection="1">
      <protection locked="0"/>
    </xf>
    <xf numFmtId="4" fontId="0" fillId="33" borderId="48" xfId="0" quotePrefix="1" applyNumberFormat="1" applyFill="1" applyBorder="1" applyProtection="1">
      <protection locked="0"/>
    </xf>
    <xf numFmtId="4" fontId="0" fillId="39" borderId="48" xfId="0" applyNumberFormat="1" applyFill="1" applyBorder="1" applyProtection="1">
      <protection locked="0"/>
    </xf>
    <xf numFmtId="10" fontId="0" fillId="30" borderId="19" xfId="0" applyNumberFormat="1" applyFill="1" applyBorder="1"/>
    <xf numFmtId="10" fontId="0" fillId="33" borderId="19" xfId="0" applyNumberFormat="1" applyFill="1" applyBorder="1" applyProtection="1">
      <protection locked="0"/>
    </xf>
    <xf numFmtId="0" fontId="0" fillId="33" borderId="44" xfId="0" applyFill="1" applyBorder="1" applyAlignment="1" applyProtection="1">
      <alignment horizontal="left" vertical="center"/>
      <protection locked="0"/>
    </xf>
    <xf numFmtId="0" fontId="0" fillId="33" borderId="82" xfId="0" applyFill="1" applyBorder="1" applyAlignment="1" applyProtection="1">
      <alignment horizontal="left" vertical="center"/>
      <protection locked="0"/>
    </xf>
    <xf numFmtId="0" fontId="0" fillId="33" borderId="81" xfId="0" applyFill="1" applyBorder="1" applyAlignment="1" applyProtection="1">
      <alignment horizontal="center" vertical="center"/>
      <protection locked="0"/>
    </xf>
    <xf numFmtId="0" fontId="0" fillId="33" borderId="83" xfId="0" applyFill="1" applyBorder="1" applyAlignment="1" applyProtection="1">
      <alignment horizontal="center" vertical="center"/>
      <protection locked="0"/>
    </xf>
    <xf numFmtId="3" fontId="0" fillId="33" borderId="82" xfId="0" applyNumberFormat="1" applyFill="1" applyBorder="1" applyAlignment="1" applyProtection="1">
      <alignment horizontal="center" vertical="center"/>
      <protection locked="0"/>
    </xf>
    <xf numFmtId="3" fontId="0" fillId="33" borderId="52" xfId="0" applyNumberFormat="1" applyFill="1" applyBorder="1" applyAlignment="1" applyProtection="1">
      <alignment horizontal="right" vertical="center"/>
      <protection locked="0"/>
    </xf>
    <xf numFmtId="3" fontId="0" fillId="33" borderId="81" xfId="0" applyNumberFormat="1" applyFill="1" applyBorder="1" applyAlignment="1" applyProtection="1">
      <alignment horizontal="right" vertical="center"/>
      <protection locked="0"/>
    </xf>
    <xf numFmtId="3" fontId="0" fillId="33" borderId="68" xfId="0" applyNumberFormat="1" applyFill="1" applyBorder="1" applyAlignment="1" applyProtection="1">
      <alignment horizontal="right" vertical="center"/>
      <protection locked="0"/>
    </xf>
    <xf numFmtId="0" fontId="0" fillId="33" borderId="15" xfId="0" applyFill="1" applyBorder="1" applyAlignment="1" applyProtection="1">
      <alignment horizontal="left" vertical="center"/>
      <protection locked="0"/>
    </xf>
    <xf numFmtId="0" fontId="0" fillId="33" borderId="85" xfId="0" applyFill="1" applyBorder="1" applyAlignment="1" applyProtection="1">
      <alignment horizontal="center" vertical="center"/>
      <protection locked="0"/>
    </xf>
    <xf numFmtId="3" fontId="0" fillId="33" borderId="72" xfId="0" applyNumberFormat="1" applyFill="1" applyBorder="1" applyAlignment="1" applyProtection="1">
      <alignment horizontal="center" vertical="center"/>
      <protection locked="0"/>
    </xf>
    <xf numFmtId="3" fontId="0" fillId="33" borderId="48" xfId="0" applyNumberFormat="1" applyFill="1" applyBorder="1" applyAlignment="1" applyProtection="1">
      <alignment horizontal="right" vertical="center"/>
      <protection locked="0"/>
    </xf>
    <xf numFmtId="3" fontId="0" fillId="33" borderId="85" xfId="0" applyNumberFormat="1" applyFill="1" applyBorder="1" applyAlignment="1" applyProtection="1">
      <alignment horizontal="right" vertical="center"/>
      <protection locked="0"/>
    </xf>
    <xf numFmtId="3" fontId="0" fillId="33" borderId="55" xfId="0" applyNumberFormat="1" applyFill="1" applyBorder="1" applyAlignment="1" applyProtection="1">
      <alignment horizontal="right" vertical="center"/>
      <protection locked="0"/>
    </xf>
    <xf numFmtId="0" fontId="0" fillId="33" borderId="70" xfId="0" applyFill="1" applyBorder="1" applyAlignment="1" applyProtection="1">
      <alignment horizontal="left" vertical="center"/>
      <protection locked="0"/>
    </xf>
    <xf numFmtId="0" fontId="0" fillId="33" borderId="86" xfId="0" applyFill="1" applyBorder="1" applyAlignment="1" applyProtection="1">
      <alignment horizontal="center" vertical="center"/>
      <protection locked="0"/>
    </xf>
    <xf numFmtId="3" fontId="0" fillId="33" borderId="78" xfId="0" applyNumberFormat="1" applyFill="1" applyBorder="1" applyAlignment="1" applyProtection="1">
      <alignment horizontal="center" vertical="center"/>
      <protection locked="0"/>
    </xf>
    <xf numFmtId="3" fontId="0" fillId="33" borderId="79" xfId="0" applyNumberFormat="1" applyFill="1" applyBorder="1" applyAlignment="1" applyProtection="1">
      <alignment horizontal="right" vertical="center"/>
      <protection locked="0"/>
    </xf>
    <xf numFmtId="3" fontId="0" fillId="33" borderId="86" xfId="0" applyNumberFormat="1" applyFill="1" applyBorder="1" applyAlignment="1" applyProtection="1">
      <alignment horizontal="right" vertical="center"/>
      <protection locked="0"/>
    </xf>
    <xf numFmtId="3" fontId="0" fillId="33" borderId="69" xfId="0" applyNumberFormat="1" applyFill="1" applyBorder="1" applyAlignment="1" applyProtection="1">
      <alignment horizontal="right" vertical="center"/>
      <protection locked="0"/>
    </xf>
    <xf numFmtId="0" fontId="0" fillId="30" borderId="106" xfId="0" applyNumberFormat="1" applyFill="1" applyBorder="1" applyAlignment="1" applyProtection="1">
      <alignment horizontal="right" vertical="center"/>
      <protection locked="0"/>
    </xf>
    <xf numFmtId="0" fontId="0" fillId="30" borderId="107" xfId="0" applyNumberFormat="1" applyFill="1" applyBorder="1" applyAlignment="1" applyProtection="1">
      <alignment horizontal="right" vertical="center"/>
      <protection locked="0"/>
    </xf>
    <xf numFmtId="176" fontId="0" fillId="30" borderId="82" xfId="0" applyNumberFormat="1" applyFill="1" applyBorder="1" applyAlignment="1" applyProtection="1">
      <alignment horizontal="right" vertical="center"/>
      <protection locked="0"/>
    </xf>
    <xf numFmtId="0" fontId="0" fillId="30" borderId="83" xfId="0" applyNumberFormat="1" applyFill="1" applyBorder="1" applyAlignment="1" applyProtection="1">
      <alignment horizontal="right" vertical="center"/>
      <protection locked="0"/>
    </xf>
    <xf numFmtId="177" fontId="0" fillId="30" borderId="82" xfId="0" applyNumberFormat="1" applyFill="1" applyBorder="1" applyAlignment="1" applyProtection="1">
      <alignment horizontal="right" vertical="center"/>
      <protection locked="0"/>
    </xf>
    <xf numFmtId="0" fontId="0" fillId="30" borderId="52" xfId="0" applyNumberFormat="1" applyFill="1" applyBorder="1" applyAlignment="1" applyProtection="1">
      <alignment horizontal="right" vertical="center"/>
      <protection locked="0"/>
    </xf>
    <xf numFmtId="0" fontId="0" fillId="30" borderId="81" xfId="0" applyNumberFormat="1" applyFill="1" applyBorder="1" applyAlignment="1" applyProtection="1">
      <alignment horizontal="right" vertical="center"/>
      <protection locked="0"/>
    </xf>
    <xf numFmtId="176" fontId="0" fillId="30" borderId="68" xfId="0" applyNumberFormat="1" applyFill="1" applyBorder="1" applyAlignment="1" applyProtection="1">
      <alignment horizontal="right" vertical="center"/>
      <protection locked="0"/>
    </xf>
    <xf numFmtId="0" fontId="0" fillId="30" borderId="39" xfId="0" applyNumberFormat="1" applyFill="1" applyBorder="1" applyAlignment="1" applyProtection="1">
      <alignment horizontal="right" vertical="center"/>
      <protection locked="0"/>
    </xf>
    <xf numFmtId="176" fontId="0" fillId="30" borderId="85" xfId="0" applyNumberFormat="1" applyFill="1" applyBorder="1" applyAlignment="1" applyProtection="1">
      <alignment horizontal="right" vertical="center"/>
      <protection locked="0"/>
    </xf>
    <xf numFmtId="176" fontId="0" fillId="30" borderId="72" xfId="0" applyNumberFormat="1" applyFill="1" applyBorder="1" applyAlignment="1" applyProtection="1">
      <alignment horizontal="right" vertical="center"/>
      <protection locked="0"/>
    </xf>
    <xf numFmtId="176" fontId="0" fillId="30" borderId="76" xfId="0" applyNumberFormat="1" applyFill="1" applyBorder="1" applyAlignment="1" applyProtection="1">
      <alignment horizontal="right" vertical="center"/>
      <protection locked="0"/>
    </xf>
    <xf numFmtId="176" fontId="0" fillId="30" borderId="48" xfId="0" applyNumberFormat="1" applyFill="1" applyBorder="1" applyAlignment="1" applyProtection="1">
      <alignment horizontal="right" vertical="center"/>
      <protection locked="0"/>
    </xf>
    <xf numFmtId="176" fontId="0" fillId="30" borderId="55" xfId="0" applyNumberFormat="1" applyFill="1" applyBorder="1" applyAlignment="1" applyProtection="1">
      <alignment horizontal="right" vertical="center"/>
      <protection locked="0"/>
    </xf>
    <xf numFmtId="176" fontId="0" fillId="30" borderId="39" xfId="0" applyNumberFormat="1" applyFill="1" applyBorder="1" applyAlignment="1" applyProtection="1">
      <alignment horizontal="right" vertical="center"/>
      <protection locked="0"/>
    </xf>
    <xf numFmtId="0" fontId="0" fillId="30" borderId="72" xfId="0" applyNumberFormat="1" applyFill="1" applyBorder="1" applyAlignment="1" applyProtection="1">
      <alignment horizontal="right" vertical="center"/>
      <protection locked="0"/>
    </xf>
    <xf numFmtId="176" fontId="0" fillId="30" borderId="34" xfId="0" applyNumberFormat="1" applyFill="1" applyBorder="1" applyAlignment="1" applyProtection="1">
      <alignment horizontal="right" vertical="center"/>
      <protection locked="0"/>
    </xf>
    <xf numFmtId="0" fontId="0" fillId="30" borderId="86" xfId="0" applyNumberFormat="1" applyFill="1" applyBorder="1" applyAlignment="1" applyProtection="1">
      <alignment horizontal="right" vertical="center"/>
      <protection locked="0"/>
    </xf>
    <xf numFmtId="0" fontId="0" fillId="30" borderId="78" xfId="0" applyNumberFormat="1" applyFill="1" applyBorder="1" applyAlignment="1" applyProtection="1">
      <alignment horizontal="right" vertical="center"/>
      <protection locked="0"/>
    </xf>
    <xf numFmtId="0" fontId="0" fillId="30" borderId="80" xfId="0" applyNumberFormat="1" applyFill="1" applyBorder="1" applyAlignment="1" applyProtection="1">
      <alignment horizontal="right" vertical="center"/>
      <protection locked="0"/>
    </xf>
    <xf numFmtId="0" fontId="0" fillId="30" borderId="79" xfId="0" applyNumberFormat="1" applyFill="1" applyBorder="1" applyAlignment="1" applyProtection="1">
      <alignment horizontal="right" vertical="center"/>
      <protection locked="0"/>
    </xf>
    <xf numFmtId="176" fontId="0" fillId="30" borderId="78" xfId="0" applyNumberFormat="1" applyFill="1" applyBorder="1" applyAlignment="1" applyProtection="1">
      <alignment horizontal="right" vertical="center"/>
      <protection locked="0"/>
    </xf>
    <xf numFmtId="0" fontId="0" fillId="30" borderId="69" xfId="0" applyNumberFormat="1" applyFill="1" applyBorder="1" applyAlignment="1" applyProtection="1">
      <alignment horizontal="right" vertical="center"/>
      <protection locked="0"/>
    </xf>
    <xf numFmtId="176" fontId="0" fillId="30" borderId="106" xfId="0" applyNumberFormat="1" applyFill="1" applyBorder="1" applyAlignment="1" applyProtection="1">
      <alignment horizontal="right" vertical="center"/>
      <protection locked="0"/>
    </xf>
    <xf numFmtId="176" fontId="0" fillId="30" borderId="108" xfId="0" applyNumberFormat="1" applyFill="1" applyBorder="1" applyAlignment="1" applyProtection="1">
      <alignment horizontal="right" vertical="center"/>
      <protection locked="0"/>
    </xf>
    <xf numFmtId="176" fontId="0" fillId="30" borderId="69" xfId="0" applyNumberFormat="1" applyFill="1" applyBorder="1" applyAlignment="1" applyProtection="1">
      <alignment horizontal="right" vertical="center"/>
      <protection locked="0"/>
    </xf>
    <xf numFmtId="177" fontId="0" fillId="30" borderId="106" xfId="0" applyNumberFormat="1" applyFill="1" applyBorder="1" applyAlignment="1" applyProtection="1">
      <alignment horizontal="right" vertical="center"/>
      <protection locked="0"/>
    </xf>
    <xf numFmtId="177" fontId="0" fillId="30" borderId="52" xfId="0" applyNumberFormat="1" applyFill="1" applyBorder="1" applyAlignment="1" applyProtection="1">
      <alignment horizontal="right" vertical="center"/>
      <protection locked="0"/>
    </xf>
    <xf numFmtId="177" fontId="0" fillId="30" borderId="81" xfId="0" applyNumberFormat="1" applyFill="1" applyBorder="1" applyAlignment="1" applyProtection="1">
      <alignment horizontal="right" vertical="center"/>
      <protection locked="0"/>
    </xf>
    <xf numFmtId="177" fontId="0" fillId="30" borderId="68" xfId="0" applyNumberFormat="1" applyFill="1" applyBorder="1" applyAlignment="1" applyProtection="1">
      <alignment horizontal="right" vertical="center"/>
      <protection locked="0"/>
    </xf>
    <xf numFmtId="176" fontId="0" fillId="30" borderId="86" xfId="0" applyNumberFormat="1" applyFill="1" applyBorder="1" applyAlignment="1" applyProtection="1">
      <alignment horizontal="right" vertical="center"/>
      <protection locked="0"/>
    </xf>
    <xf numFmtId="0" fontId="0" fillId="30" borderId="83" xfId="0" applyFill="1" applyBorder="1" applyAlignment="1" applyProtection="1">
      <alignment horizontal="left" vertical="center"/>
    </xf>
    <xf numFmtId="177" fontId="0" fillId="30" borderId="82" xfId="0" applyNumberFormat="1" applyFill="1" applyBorder="1" applyAlignment="1" applyProtection="1">
      <alignment horizontal="right" vertical="center"/>
    </xf>
    <xf numFmtId="177" fontId="0" fillId="32" borderId="52" xfId="0" applyNumberFormat="1" applyFill="1" applyBorder="1" applyAlignment="1" applyProtection="1">
      <alignment horizontal="right" vertical="center"/>
    </xf>
    <xf numFmtId="0" fontId="0" fillId="30" borderId="52" xfId="0" applyNumberFormat="1" applyFill="1" applyBorder="1" applyAlignment="1" applyProtection="1">
      <alignment horizontal="right" vertical="center"/>
    </xf>
    <xf numFmtId="177" fontId="0" fillId="32" borderId="81" xfId="0" applyNumberFormat="1" applyFill="1" applyBorder="1" applyAlignment="1" applyProtection="1">
      <alignment horizontal="right" vertical="center"/>
    </xf>
    <xf numFmtId="177" fontId="0" fillId="32" borderId="82" xfId="0" applyNumberFormat="1" applyFill="1" applyBorder="1" applyAlignment="1" applyProtection="1">
      <alignment horizontal="right" vertical="center"/>
    </xf>
    <xf numFmtId="177" fontId="0" fillId="32" borderId="68" xfId="0" applyNumberFormat="1" applyFill="1" applyBorder="1" applyAlignment="1" applyProtection="1">
      <alignment horizontal="right" vertical="center"/>
    </xf>
    <xf numFmtId="0" fontId="0" fillId="30" borderId="76" xfId="0" applyFill="1" applyBorder="1" applyAlignment="1" applyProtection="1">
      <alignment horizontal="left" vertical="center"/>
    </xf>
    <xf numFmtId="177" fontId="0" fillId="30" borderId="72" xfId="0" applyNumberFormat="1" applyFill="1" applyBorder="1" applyAlignment="1" applyProtection="1">
      <alignment horizontal="right" vertical="center"/>
    </xf>
    <xf numFmtId="177" fontId="0" fillId="32" borderId="48" xfId="0" applyNumberFormat="1" applyFill="1" applyBorder="1" applyAlignment="1" applyProtection="1">
      <alignment horizontal="right" vertical="center"/>
    </xf>
    <xf numFmtId="0" fontId="0" fillId="30" borderId="48" xfId="0" applyNumberFormat="1" applyFill="1" applyBorder="1" applyAlignment="1" applyProtection="1">
      <alignment horizontal="right" vertical="center"/>
    </xf>
    <xf numFmtId="177" fontId="0" fillId="32" borderId="85" xfId="0" applyNumberFormat="1" applyFill="1" applyBorder="1" applyAlignment="1" applyProtection="1">
      <alignment horizontal="right" vertical="center"/>
    </xf>
    <xf numFmtId="177" fontId="0" fillId="32" borderId="72" xfId="0" applyNumberFormat="1" applyFill="1" applyBorder="1" applyAlignment="1" applyProtection="1">
      <alignment horizontal="right" vertical="center"/>
    </xf>
    <xf numFmtId="177" fontId="0" fillId="32" borderId="55" xfId="0" applyNumberFormat="1" applyFill="1" applyBorder="1" applyAlignment="1" applyProtection="1">
      <alignment horizontal="right" vertical="center"/>
    </xf>
    <xf numFmtId="177" fontId="0" fillId="30" borderId="48" xfId="0" applyNumberFormat="1" applyFill="1" applyBorder="1" applyAlignment="1" applyProtection="1">
      <alignment horizontal="right" vertical="center"/>
    </xf>
    <xf numFmtId="177" fontId="0" fillId="32" borderId="92" xfId="0" applyNumberFormat="1" applyFill="1" applyBorder="1" applyAlignment="1" applyProtection="1">
      <alignment horizontal="right" vertical="center"/>
    </xf>
    <xf numFmtId="177" fontId="0" fillId="32" borderId="54" xfId="0" applyNumberFormat="1" applyFill="1" applyBorder="1" applyAlignment="1" applyProtection="1">
      <alignment horizontal="right" vertical="center"/>
    </xf>
    <xf numFmtId="177" fontId="0" fillId="30" borderId="54" xfId="0" applyNumberFormat="1" applyFill="1" applyBorder="1" applyAlignment="1" applyProtection="1">
      <alignment horizontal="right" vertical="center"/>
    </xf>
    <xf numFmtId="177" fontId="0" fillId="30" borderId="95" xfId="0" applyNumberFormat="1" applyFill="1" applyBorder="1" applyAlignment="1" applyProtection="1">
      <alignment horizontal="right" vertical="center"/>
    </xf>
    <xf numFmtId="177" fontId="0" fillId="32" borderId="95" xfId="0" applyNumberFormat="1" applyFill="1" applyBorder="1" applyAlignment="1" applyProtection="1">
      <alignment horizontal="right" vertical="center"/>
    </xf>
    <xf numFmtId="0" fontId="0" fillId="30" borderId="76" xfId="0" applyFill="1" applyBorder="1" applyAlignment="1" applyProtection="1">
      <alignment vertical="center"/>
    </xf>
    <xf numFmtId="177" fontId="0" fillId="32" borderId="76" xfId="0" applyNumberFormat="1" applyFill="1" applyBorder="1" applyAlignment="1" applyProtection="1">
      <alignment horizontal="right" vertical="center"/>
    </xf>
    <xf numFmtId="176" fontId="0" fillId="30" borderId="72" xfId="0" applyNumberFormat="1" applyFill="1" applyBorder="1" applyAlignment="1" applyProtection="1">
      <alignment horizontal="right" vertical="center"/>
    </xf>
    <xf numFmtId="0" fontId="0" fillId="30" borderId="76" xfId="0" applyFont="1" applyFill="1" applyBorder="1" applyAlignment="1" applyProtection="1"/>
    <xf numFmtId="0" fontId="0" fillId="30" borderId="76" xfId="0" applyFill="1" applyBorder="1" applyProtection="1"/>
    <xf numFmtId="177" fontId="0" fillId="30" borderId="55" xfId="0" applyNumberFormat="1" applyFill="1" applyBorder="1" applyAlignment="1" applyProtection="1">
      <alignment horizontal="right" vertical="center"/>
    </xf>
    <xf numFmtId="0" fontId="0" fillId="30" borderId="85" xfId="0" applyFill="1" applyBorder="1" applyAlignment="1" applyProtection="1">
      <alignment horizontal="left" vertical="center"/>
    </xf>
    <xf numFmtId="166" fontId="0" fillId="32" borderId="72" xfId="0" applyNumberFormat="1" applyFill="1" applyBorder="1" applyAlignment="1" applyProtection="1">
      <alignment horizontal="center" vertical="center"/>
    </xf>
    <xf numFmtId="166" fontId="0" fillId="32" borderId="55" xfId="0" applyNumberFormat="1" applyFill="1" applyBorder="1" applyAlignment="1" applyProtection="1">
      <alignment horizontal="center" vertical="center"/>
    </xf>
    <xf numFmtId="0" fontId="0" fillId="30" borderId="80" xfId="0" applyFill="1" applyBorder="1" applyAlignment="1" applyProtection="1">
      <alignment horizontal="left" vertical="center"/>
    </xf>
    <xf numFmtId="0" fontId="0" fillId="32" borderId="87" xfId="0" applyFill="1" applyBorder="1" applyAlignment="1" applyProtection="1">
      <alignment horizontal="left" vertical="center"/>
    </xf>
    <xf numFmtId="0" fontId="0" fillId="32" borderId="60" xfId="0" applyFill="1" applyBorder="1" applyAlignment="1" applyProtection="1">
      <alignment horizontal="left" vertical="center"/>
    </xf>
    <xf numFmtId="0" fontId="0" fillId="32" borderId="59" xfId="0" applyFill="1" applyBorder="1" applyAlignment="1" applyProtection="1">
      <alignment horizontal="left" vertical="center"/>
    </xf>
    <xf numFmtId="0" fontId="0" fillId="32" borderId="78" xfId="0" applyFill="1" applyBorder="1" applyAlignment="1" applyProtection="1">
      <alignment horizontal="left" vertical="center"/>
    </xf>
    <xf numFmtId="0" fontId="0" fillId="32" borderId="69" xfId="0" applyFill="1" applyBorder="1" applyAlignment="1" applyProtection="1">
      <alignment horizontal="left" vertical="center"/>
    </xf>
    <xf numFmtId="0" fontId="0" fillId="30" borderId="25" xfId="0" applyFill="1" applyBorder="1" applyAlignment="1" applyProtection="1">
      <alignment horizontal="center" vertical="center"/>
    </xf>
    <xf numFmtId="0" fontId="0" fillId="30" borderId="73" xfId="0" applyFill="1" applyBorder="1" applyAlignment="1" applyProtection="1">
      <alignment horizontal="center" vertical="center"/>
    </xf>
    <xf numFmtId="0" fontId="0" fillId="30" borderId="57" xfId="0" applyFill="1" applyBorder="1" applyAlignment="1" applyProtection="1">
      <alignment horizontal="center" vertical="center"/>
    </xf>
    <xf numFmtId="0" fontId="0" fillId="30" borderId="74" xfId="0" applyFill="1" applyBorder="1" applyAlignment="1" applyProtection="1">
      <alignment horizontal="center" vertical="center"/>
    </xf>
    <xf numFmtId="3" fontId="0" fillId="30" borderId="73" xfId="0" applyNumberFormat="1" applyFill="1" applyBorder="1" applyAlignment="1" applyProtection="1">
      <alignment horizontal="center" vertical="center"/>
    </xf>
    <xf numFmtId="3" fontId="0" fillId="30" borderId="50" xfId="0" applyNumberFormat="1" applyFill="1" applyBorder="1" applyAlignment="1" applyProtection="1">
      <alignment horizontal="center" vertical="center"/>
    </xf>
    <xf numFmtId="3" fontId="0" fillId="30" borderId="57" xfId="0" applyNumberFormat="1" applyFill="1" applyBorder="1" applyAlignment="1" applyProtection="1">
      <alignment horizontal="center" vertical="center"/>
    </xf>
    <xf numFmtId="3" fontId="0" fillId="30" borderId="58" xfId="0" applyNumberFormat="1" applyFill="1" applyBorder="1" applyAlignment="1" applyProtection="1">
      <alignment horizontal="center" vertical="center"/>
    </xf>
    <xf numFmtId="0" fontId="0" fillId="30" borderId="34" xfId="0" applyFill="1" applyBorder="1" applyAlignment="1" applyProtection="1">
      <alignment horizontal="center" vertical="center"/>
    </xf>
    <xf numFmtId="0" fontId="0" fillId="30" borderId="80" xfId="0" applyFill="1" applyBorder="1" applyAlignment="1" applyProtection="1">
      <alignment horizontal="center" vertical="center"/>
    </xf>
    <xf numFmtId="0" fontId="0" fillId="30" borderId="69" xfId="0" applyFill="1" applyBorder="1" applyAlignment="1" applyProtection="1">
      <alignment horizontal="center" vertical="center"/>
    </xf>
    <xf numFmtId="176" fontId="0" fillId="30" borderId="82" xfId="0" applyNumberFormat="1" applyFill="1" applyBorder="1" applyAlignment="1" applyProtection="1">
      <alignment horizontal="right" vertical="center"/>
    </xf>
    <xf numFmtId="176" fontId="0" fillId="30" borderId="83" xfId="0" applyNumberFormat="1" applyFill="1" applyBorder="1" applyAlignment="1" applyProtection="1">
      <alignment horizontal="right" vertical="center"/>
    </xf>
    <xf numFmtId="176" fontId="0" fillId="30" borderId="68" xfId="0" applyNumberFormat="1" applyFill="1" applyBorder="1" applyAlignment="1" applyProtection="1">
      <alignment horizontal="right" vertical="center"/>
    </xf>
    <xf numFmtId="0" fontId="0" fillId="30" borderId="44" xfId="0" applyFill="1" applyBorder="1" applyAlignment="1" applyProtection="1">
      <alignment vertical="center"/>
    </xf>
    <xf numFmtId="0" fontId="0" fillId="30" borderId="38" xfId="0" applyFill="1" applyBorder="1" applyAlignment="1" applyProtection="1">
      <alignment horizontal="center" vertical="center"/>
    </xf>
    <xf numFmtId="0" fontId="0" fillId="30" borderId="75" xfId="0" applyFill="1" applyBorder="1" applyAlignment="1" applyProtection="1">
      <alignment vertical="center"/>
    </xf>
    <xf numFmtId="3" fontId="0" fillId="30" borderId="82" xfId="0" applyNumberFormat="1" applyFill="1" applyBorder="1" applyAlignment="1" applyProtection="1">
      <alignment horizontal="right" vertical="center"/>
    </xf>
    <xf numFmtId="3" fontId="0" fillId="30" borderId="52" xfId="0" applyNumberFormat="1" applyFill="1" applyBorder="1" applyAlignment="1" applyProtection="1">
      <alignment horizontal="right" vertical="center"/>
    </xf>
    <xf numFmtId="3" fontId="0" fillId="30" borderId="81" xfId="0" applyNumberFormat="1" applyFill="1" applyBorder="1" applyAlignment="1" applyProtection="1">
      <alignment horizontal="right" vertical="center"/>
    </xf>
    <xf numFmtId="3" fontId="0" fillId="30" borderId="68" xfId="0" applyNumberFormat="1" applyFill="1" applyBorder="1" applyAlignment="1" applyProtection="1">
      <alignment horizontal="right" vertical="center"/>
    </xf>
    <xf numFmtId="176" fontId="0" fillId="30" borderId="36" xfId="0" applyNumberFormat="1" applyFill="1" applyBorder="1" applyAlignment="1" applyProtection="1">
      <alignment horizontal="right" vertical="center"/>
    </xf>
    <xf numFmtId="176" fontId="0" fillId="30" borderId="81" xfId="0" applyNumberFormat="1" applyFill="1" applyBorder="1" applyAlignment="1" applyProtection="1">
      <alignment horizontal="right" vertical="center"/>
    </xf>
    <xf numFmtId="176" fontId="0" fillId="30" borderId="52" xfId="0" applyNumberFormat="1" applyFill="1" applyBorder="1" applyAlignment="1" applyProtection="1">
      <alignment horizontal="right" vertical="center"/>
    </xf>
    <xf numFmtId="0" fontId="0" fillId="30" borderId="137" xfId="0" applyFill="1" applyBorder="1" applyAlignment="1" applyProtection="1">
      <alignment horizontal="center" vertical="center"/>
    </xf>
    <xf numFmtId="3" fontId="0" fillId="30" borderId="73" xfId="0" applyNumberFormat="1" applyFill="1" applyBorder="1" applyAlignment="1" applyProtection="1">
      <alignment horizontal="right" vertical="center"/>
    </xf>
    <xf numFmtId="3" fontId="0" fillId="30" borderId="50" xfId="0" applyNumberFormat="1" applyFill="1" applyBorder="1" applyAlignment="1" applyProtection="1">
      <alignment horizontal="right" vertical="center"/>
    </xf>
    <xf numFmtId="3" fontId="0" fillId="30" borderId="57" xfId="0" applyNumberFormat="1" applyFill="1" applyBorder="1" applyAlignment="1" applyProtection="1">
      <alignment horizontal="right" vertical="center"/>
    </xf>
    <xf numFmtId="3" fontId="0" fillId="30" borderId="58" xfId="0" applyNumberFormat="1" applyFill="1" applyBorder="1" applyAlignment="1" applyProtection="1">
      <alignment horizontal="right" vertical="center"/>
    </xf>
    <xf numFmtId="176" fontId="0" fillId="30" borderId="47" xfId="0" applyNumberFormat="1" applyFill="1" applyBorder="1" applyAlignment="1" applyProtection="1">
      <alignment horizontal="right" vertical="center"/>
    </xf>
    <xf numFmtId="176" fontId="0" fillId="30" borderId="57" xfId="0" applyNumberFormat="1" applyFill="1" applyBorder="1" applyAlignment="1" applyProtection="1">
      <alignment horizontal="right" vertical="center"/>
    </xf>
    <xf numFmtId="176" fontId="0" fillId="30" borderId="73" xfId="0" applyNumberFormat="1" applyFill="1" applyBorder="1" applyAlignment="1" applyProtection="1">
      <alignment horizontal="right" vertical="center"/>
    </xf>
    <xf numFmtId="176" fontId="0" fillId="30" borderId="74" xfId="0" applyNumberFormat="1" applyFill="1" applyBorder="1" applyAlignment="1" applyProtection="1">
      <alignment horizontal="right" vertical="center"/>
    </xf>
    <xf numFmtId="176" fontId="0" fillId="30" borderId="127" xfId="0" applyNumberFormat="1" applyFill="1" applyBorder="1" applyAlignment="1" applyProtection="1">
      <alignment horizontal="right" vertical="center"/>
    </xf>
    <xf numFmtId="176" fontId="0" fillId="30" borderId="50" xfId="0" applyNumberFormat="1" applyFill="1" applyBorder="1" applyAlignment="1" applyProtection="1">
      <alignment horizontal="right" vertical="center"/>
    </xf>
    <xf numFmtId="176" fontId="0" fillId="30" borderId="58" xfId="0" applyNumberFormat="1" applyFill="1" applyBorder="1" applyAlignment="1" applyProtection="1">
      <alignment horizontal="right" vertical="center"/>
    </xf>
    <xf numFmtId="176" fontId="0" fillId="30" borderId="107" xfId="0" applyNumberFormat="1" applyFill="1" applyBorder="1" applyAlignment="1" applyProtection="1">
      <alignment horizontal="right" vertical="center"/>
      <protection locked="0"/>
    </xf>
    <xf numFmtId="176" fontId="0" fillId="30" borderId="83" xfId="0" applyNumberFormat="1" applyFill="1" applyBorder="1" applyAlignment="1" applyProtection="1">
      <alignment horizontal="right" vertical="center"/>
      <protection locked="0"/>
    </xf>
    <xf numFmtId="176" fontId="0" fillId="30" borderId="80" xfId="0" applyNumberFormat="1" applyFill="1" applyBorder="1" applyAlignment="1" applyProtection="1">
      <alignment horizontal="right" vertical="center"/>
      <protection locked="0"/>
    </xf>
    <xf numFmtId="176" fontId="0" fillId="30" borderId="79" xfId="0" applyNumberFormat="1" applyFill="1" applyBorder="1" applyAlignment="1" applyProtection="1">
      <alignment horizontal="right" vertical="center"/>
      <protection locked="0"/>
    </xf>
    <xf numFmtId="0" fontId="0" fillId="30" borderId="54" xfId="0" applyNumberFormat="1" applyFill="1" applyBorder="1" applyAlignment="1">
      <alignment horizontal="right" vertical="center"/>
    </xf>
    <xf numFmtId="176" fontId="0" fillId="30" borderId="160" xfId="0" applyNumberFormat="1" applyFill="1" applyBorder="1" applyAlignment="1" applyProtection="1">
      <alignment horizontal="right" vertical="center"/>
      <protection locked="0"/>
    </xf>
    <xf numFmtId="176" fontId="0" fillId="30" borderId="29" xfId="0" applyNumberFormat="1" applyFill="1" applyBorder="1" applyAlignment="1" applyProtection="1">
      <alignment horizontal="right" vertical="center"/>
      <protection locked="0"/>
    </xf>
    <xf numFmtId="176" fontId="0" fillId="30" borderId="41" xfId="0" applyNumberFormat="1" applyFill="1" applyBorder="1" applyAlignment="1" applyProtection="1">
      <alignment horizontal="right" vertical="center"/>
      <protection locked="0"/>
    </xf>
    <xf numFmtId="177" fontId="0" fillId="33" borderId="158" xfId="0" applyNumberFormat="1" applyFill="1" applyBorder="1" applyAlignment="1" applyProtection="1">
      <alignment horizontal="center" vertical="center"/>
      <protection locked="0"/>
    </xf>
    <xf numFmtId="176" fontId="0" fillId="33" borderId="84" xfId="0" applyNumberFormat="1" applyFill="1" applyBorder="1" applyAlignment="1" applyProtection="1">
      <alignment horizontal="right" vertical="center"/>
      <protection locked="0"/>
    </xf>
    <xf numFmtId="176" fontId="0" fillId="33" borderId="30" xfId="0" applyNumberFormat="1" applyFill="1" applyBorder="1" applyAlignment="1" applyProtection="1">
      <alignment horizontal="right" vertical="center"/>
      <protection locked="0"/>
    </xf>
    <xf numFmtId="176" fontId="0" fillId="33" borderId="42" xfId="0" applyNumberFormat="1" applyFill="1" applyBorder="1" applyAlignment="1" applyProtection="1">
      <alignment horizontal="right" vertical="center"/>
      <protection locked="0"/>
    </xf>
    <xf numFmtId="176" fontId="0" fillId="30" borderId="30" xfId="0" applyNumberFormat="1" applyFill="1" applyBorder="1" applyAlignment="1" applyProtection="1">
      <alignment horizontal="right" vertical="center"/>
      <protection locked="0"/>
    </xf>
    <xf numFmtId="176" fontId="0" fillId="30" borderId="42" xfId="0" applyNumberFormat="1" applyFill="1" applyBorder="1" applyAlignment="1" applyProtection="1">
      <alignment horizontal="right" vertical="center"/>
      <protection locked="0"/>
    </xf>
    <xf numFmtId="0" fontId="0" fillId="33" borderId="14" xfId="0" applyFill="1" applyBorder="1" applyAlignment="1" applyProtection="1">
      <alignment horizontal="left" vertical="center"/>
      <protection locked="0"/>
    </xf>
    <xf numFmtId="0" fontId="0" fillId="33" borderId="71" xfId="0" applyFill="1" applyBorder="1" applyAlignment="1" applyProtection="1">
      <alignment horizontal="left" vertical="center" wrapText="1"/>
      <protection locked="0"/>
    </xf>
    <xf numFmtId="0" fontId="0" fillId="33" borderId="67" xfId="0" applyFill="1" applyBorder="1" applyAlignment="1" applyProtection="1">
      <alignment horizontal="left" vertical="center"/>
      <protection locked="0"/>
    </xf>
    <xf numFmtId="0" fontId="0" fillId="33" borderId="77" xfId="0" applyFill="1" applyBorder="1" applyAlignment="1" applyProtection="1">
      <alignment horizontal="left" vertical="center" wrapText="1"/>
      <protection locked="0"/>
    </xf>
    <xf numFmtId="0" fontId="2" fillId="30" borderId="0" xfId="224" applyFill="1" applyAlignment="1" applyProtection="1">
      <alignment vertical="center"/>
    </xf>
    <xf numFmtId="0" fontId="42" fillId="30" borderId="16" xfId="258" applyFont="1" applyFill="1" applyBorder="1" applyAlignment="1" applyProtection="1">
      <alignment vertical="center"/>
    </xf>
    <xf numFmtId="0" fontId="73" fillId="30" borderId="44" xfId="224" applyFont="1" applyFill="1" applyBorder="1" applyAlignment="1" applyProtection="1">
      <alignment horizontal="center" vertical="center"/>
    </xf>
    <xf numFmtId="0" fontId="73" fillId="30" borderId="38" xfId="224" applyFont="1" applyFill="1" applyBorder="1" applyAlignment="1" applyProtection="1">
      <alignment horizontal="center" vertical="center"/>
    </xf>
    <xf numFmtId="0" fontId="73" fillId="30" borderId="82" xfId="224" applyFont="1" applyFill="1" applyBorder="1" applyAlignment="1" applyProtection="1">
      <alignment horizontal="center" vertical="center"/>
    </xf>
    <xf numFmtId="0" fontId="73" fillId="30" borderId="83" xfId="224" applyFont="1" applyFill="1" applyBorder="1" applyAlignment="1" applyProtection="1">
      <alignment horizontal="center" vertical="center"/>
    </xf>
    <xf numFmtId="0" fontId="73" fillId="30" borderId="53" xfId="224" applyFont="1" applyFill="1" applyBorder="1" applyAlignment="1" applyProtection="1">
      <alignment horizontal="center" vertical="center"/>
    </xf>
    <xf numFmtId="0" fontId="74" fillId="30" borderId="15" xfId="224" applyFont="1" applyFill="1" applyBorder="1" applyAlignment="1" applyProtection="1">
      <alignment vertical="center"/>
    </xf>
    <xf numFmtId="0" fontId="74" fillId="30" borderId="14" xfId="224" applyFont="1" applyFill="1" applyBorder="1" applyAlignment="1" applyProtection="1">
      <alignment vertical="center"/>
    </xf>
    <xf numFmtId="176" fontId="73" fillId="30" borderId="72" xfId="224" applyNumberFormat="1" applyFont="1" applyFill="1" applyBorder="1" applyAlignment="1" applyProtection="1">
      <alignment vertical="center"/>
    </xf>
    <xf numFmtId="10" fontId="73" fillId="30" borderId="76" xfId="158" applyNumberFormat="1" applyFont="1" applyFill="1" applyBorder="1" applyAlignment="1" applyProtection="1">
      <alignment horizontal="right" vertical="center"/>
    </xf>
    <xf numFmtId="176" fontId="73" fillId="30" borderId="31" xfId="224" applyNumberFormat="1" applyFont="1" applyFill="1" applyBorder="1" applyAlignment="1" applyProtection="1">
      <alignment vertical="center"/>
    </xf>
    <xf numFmtId="0" fontId="62" fillId="30" borderId="15" xfId="224" applyFont="1" applyFill="1" applyBorder="1" applyAlignment="1" applyProtection="1">
      <alignment vertical="center"/>
    </xf>
    <xf numFmtId="0" fontId="62" fillId="30" borderId="14" xfId="224" applyFont="1" applyFill="1" applyBorder="1" applyAlignment="1" applyProtection="1">
      <alignment vertical="center"/>
    </xf>
    <xf numFmtId="176" fontId="62" fillId="30" borderId="72" xfId="224" applyNumberFormat="1" applyFont="1" applyFill="1" applyBorder="1" applyAlignment="1" applyProtection="1">
      <alignment vertical="center"/>
    </xf>
    <xf numFmtId="10" fontId="62" fillId="30" borderId="76" xfId="158" applyNumberFormat="1" applyFont="1" applyFill="1" applyBorder="1" applyAlignment="1" applyProtection="1">
      <alignment horizontal="right" vertical="center"/>
    </xf>
    <xf numFmtId="176" fontId="62" fillId="30" borderId="31" xfId="224" applyNumberFormat="1" applyFont="1" applyFill="1" applyBorder="1" applyAlignment="1" applyProtection="1">
      <alignment vertical="center"/>
    </xf>
    <xf numFmtId="0" fontId="62" fillId="30" borderId="15" xfId="224" applyFont="1" applyFill="1" applyBorder="1" applyAlignment="1" applyProtection="1">
      <alignment horizontal="right" vertical="center"/>
    </xf>
    <xf numFmtId="176" fontId="62" fillId="30" borderId="72" xfId="263" applyNumberFormat="1" applyFont="1" applyFill="1" applyBorder="1" applyAlignment="1" applyProtection="1">
      <alignment vertical="center"/>
    </xf>
    <xf numFmtId="176" fontId="62" fillId="30" borderId="72" xfId="224" applyNumberFormat="1" applyFont="1" applyFill="1" applyBorder="1" applyAlignment="1" applyProtection="1">
      <alignment horizontal="right" vertical="center"/>
    </xf>
    <xf numFmtId="176" fontId="62" fillId="30" borderId="31" xfId="224" applyNumberFormat="1" applyFont="1" applyFill="1" applyBorder="1" applyAlignment="1" applyProtection="1">
      <alignment horizontal="right" vertical="center"/>
    </xf>
    <xf numFmtId="0" fontId="62" fillId="30" borderId="14" xfId="224" applyFont="1" applyFill="1" applyBorder="1" applyAlignment="1" applyProtection="1">
      <alignment vertical="center" wrapText="1"/>
    </xf>
    <xf numFmtId="176" fontId="73" fillId="30" borderId="72" xfId="263" applyNumberFormat="1" applyFont="1" applyFill="1" applyBorder="1" applyAlignment="1" applyProtection="1">
      <alignment vertical="center"/>
    </xf>
    <xf numFmtId="176" fontId="73" fillId="30" borderId="72" xfId="224" applyNumberFormat="1" applyFont="1" applyFill="1" applyBorder="1" applyAlignment="1" applyProtection="1">
      <alignment horizontal="right" vertical="center"/>
    </xf>
    <xf numFmtId="0" fontId="62" fillId="30" borderId="70" xfId="224" applyFont="1" applyFill="1" applyBorder="1" applyAlignment="1" applyProtection="1">
      <alignment horizontal="right" vertical="center"/>
    </xf>
    <xf numFmtId="0" fontId="62" fillId="30" borderId="67" xfId="224" applyFont="1" applyFill="1" applyBorder="1" applyAlignment="1" applyProtection="1">
      <alignment vertical="center" wrapText="1"/>
    </xf>
    <xf numFmtId="176" fontId="75" fillId="30" borderId="78" xfId="263" applyNumberFormat="1" applyFont="1" applyFill="1" applyBorder="1" applyAlignment="1" applyProtection="1">
      <alignment horizontal="right" vertical="center"/>
    </xf>
    <xf numFmtId="10" fontId="75" fillId="30" borderId="80" xfId="158" applyNumberFormat="1" applyFont="1" applyFill="1" applyBorder="1" applyAlignment="1" applyProtection="1">
      <alignment horizontal="right" vertical="center"/>
    </xf>
    <xf numFmtId="176" fontId="75" fillId="30" borderId="35" xfId="263" applyNumberFormat="1" applyFont="1" applyFill="1" applyBorder="1" applyAlignment="1" applyProtection="1">
      <alignment horizontal="right" vertical="center"/>
    </xf>
    <xf numFmtId="0" fontId="73" fillId="30" borderId="135" xfId="224" applyFont="1" applyFill="1" applyBorder="1" applyAlignment="1" applyProtection="1">
      <alignment horizontal="right" vertical="center"/>
    </xf>
    <xf numFmtId="0" fontId="73" fillId="30" borderId="136" xfId="224" applyFont="1" applyFill="1" applyBorder="1" applyAlignment="1" applyProtection="1">
      <alignment vertical="center"/>
    </xf>
    <xf numFmtId="0" fontId="73" fillId="30" borderId="136" xfId="224" applyFont="1" applyFill="1" applyBorder="1" applyAlignment="1" applyProtection="1">
      <alignment vertical="center" wrapText="1"/>
    </xf>
    <xf numFmtId="176" fontId="73" fillId="30" borderId="138" xfId="263" applyNumberFormat="1" applyFont="1" applyFill="1" applyBorder="1" applyAlignment="1" applyProtection="1">
      <alignment horizontal="right" vertical="center"/>
    </xf>
    <xf numFmtId="10" fontId="73" fillId="30" borderId="74" xfId="158" applyNumberFormat="1" applyFont="1" applyFill="1" applyBorder="1" applyAlignment="1" applyProtection="1">
      <alignment horizontal="right" vertical="center"/>
    </xf>
    <xf numFmtId="176" fontId="73" fillId="30" borderId="142" xfId="263" applyNumberFormat="1" applyFont="1" applyFill="1" applyBorder="1" applyAlignment="1" applyProtection="1">
      <alignment horizontal="right" vertical="center"/>
    </xf>
    <xf numFmtId="0" fontId="34" fillId="30" borderId="0" xfId="258" applyFont="1" applyFill="1" applyAlignment="1" applyProtection="1">
      <alignment vertical="center"/>
    </xf>
    <xf numFmtId="0" fontId="11" fillId="30" borderId="0" xfId="258" applyFont="1" applyFill="1" applyAlignment="1" applyProtection="1">
      <alignment vertical="center"/>
    </xf>
    <xf numFmtId="0" fontId="73" fillId="30" borderId="78" xfId="224" applyFont="1" applyFill="1" applyBorder="1" applyAlignment="1" applyProtection="1">
      <alignment horizontal="center" vertical="center"/>
    </xf>
    <xf numFmtId="0" fontId="73" fillId="30" borderId="79" xfId="224" applyFont="1" applyFill="1" applyBorder="1" applyAlignment="1" applyProtection="1">
      <alignment horizontal="center" vertical="center"/>
    </xf>
    <xf numFmtId="0" fontId="73" fillId="30" borderId="80" xfId="224" applyFont="1" applyFill="1" applyBorder="1" applyAlignment="1" applyProtection="1">
      <alignment horizontal="center" vertical="center"/>
    </xf>
    <xf numFmtId="0" fontId="73" fillId="30" borderId="69" xfId="224" applyFont="1" applyFill="1" applyBorder="1" applyAlignment="1" applyProtection="1">
      <alignment horizontal="center" vertical="center"/>
    </xf>
    <xf numFmtId="0" fontId="73" fillId="30" borderId="52" xfId="224" applyFont="1" applyFill="1" applyBorder="1" applyAlignment="1" applyProtection="1">
      <alignment horizontal="center" vertical="center"/>
    </xf>
    <xf numFmtId="0" fontId="73" fillId="30" borderId="68" xfId="224" applyFont="1" applyFill="1" applyBorder="1" applyAlignment="1" applyProtection="1">
      <alignment horizontal="center" vertical="center"/>
    </xf>
    <xf numFmtId="176" fontId="73" fillId="30" borderId="48" xfId="224" applyNumberFormat="1" applyFont="1" applyFill="1" applyBorder="1" applyAlignment="1" applyProtection="1">
      <alignment vertical="center"/>
    </xf>
    <xf numFmtId="176" fontId="73" fillId="30" borderId="76" xfId="224" applyNumberFormat="1" applyFont="1" applyFill="1" applyBorder="1" applyAlignment="1" applyProtection="1">
      <alignment vertical="center"/>
    </xf>
    <xf numFmtId="176" fontId="73" fillId="30" borderId="55" xfId="224" applyNumberFormat="1" applyFont="1" applyFill="1" applyBorder="1" applyAlignment="1" applyProtection="1">
      <alignment vertical="center"/>
    </xf>
    <xf numFmtId="176" fontId="62" fillId="30" borderId="48" xfId="224" applyNumberFormat="1" applyFont="1" applyFill="1" applyBorder="1" applyAlignment="1" applyProtection="1">
      <alignment vertical="center"/>
    </xf>
    <xf numFmtId="176" fontId="73" fillId="30" borderId="76" xfId="263" applyNumberFormat="1" applyFont="1" applyFill="1" applyBorder="1" applyAlignment="1" applyProtection="1">
      <alignment vertical="center"/>
    </xf>
    <xf numFmtId="176" fontId="73" fillId="32" borderId="55" xfId="263" applyNumberFormat="1" applyFont="1" applyFill="1" applyBorder="1" applyAlignment="1" applyProtection="1">
      <alignment vertical="center"/>
    </xf>
    <xf numFmtId="176" fontId="73" fillId="32" borderId="76" xfId="263" applyNumberFormat="1" applyFont="1" applyFill="1" applyBorder="1" applyAlignment="1" applyProtection="1">
      <alignment vertical="center"/>
    </xf>
    <xf numFmtId="176" fontId="73" fillId="30" borderId="55" xfId="263" applyNumberFormat="1" applyFont="1" applyFill="1" applyBorder="1" applyAlignment="1" applyProtection="1">
      <alignment vertical="center"/>
    </xf>
    <xf numFmtId="176" fontId="62" fillId="30" borderId="76" xfId="224" applyNumberFormat="1" applyFont="1" applyFill="1" applyBorder="1" applyAlignment="1" applyProtection="1">
      <alignment vertical="center"/>
    </xf>
    <xf numFmtId="176" fontId="62" fillId="30" borderId="55" xfId="224" applyNumberFormat="1" applyFont="1" applyFill="1" applyBorder="1" applyAlignment="1" applyProtection="1">
      <alignment vertical="center"/>
    </xf>
    <xf numFmtId="176" fontId="73" fillId="30" borderId="48" xfId="263" applyNumberFormat="1" applyFont="1" applyFill="1" applyBorder="1" applyAlignment="1" applyProtection="1">
      <alignment vertical="center"/>
    </xf>
    <xf numFmtId="176" fontId="73" fillId="32" borderId="72" xfId="263" applyNumberFormat="1" applyFont="1" applyFill="1" applyBorder="1" applyAlignment="1" applyProtection="1">
      <alignment vertical="center"/>
    </xf>
    <xf numFmtId="176" fontId="73" fillId="32" borderId="48" xfId="263" applyNumberFormat="1" applyFont="1" applyFill="1" applyBorder="1" applyAlignment="1" applyProtection="1">
      <alignment vertical="center"/>
    </xf>
    <xf numFmtId="176" fontId="62" fillId="30" borderId="78" xfId="263" applyNumberFormat="1" applyFont="1" applyFill="1" applyBorder="1" applyAlignment="1" applyProtection="1">
      <alignment vertical="center"/>
    </xf>
    <xf numFmtId="176" fontId="62" fillId="30" borderId="79" xfId="263" applyNumberFormat="1" applyFont="1" applyFill="1" applyBorder="1" applyAlignment="1" applyProtection="1">
      <alignment vertical="center"/>
    </xf>
    <xf numFmtId="176" fontId="62" fillId="30" borderId="80" xfId="263" applyNumberFormat="1" applyFont="1" applyFill="1" applyBorder="1" applyAlignment="1" applyProtection="1">
      <alignment vertical="center"/>
    </xf>
    <xf numFmtId="176" fontId="73" fillId="30" borderId="80" xfId="263" applyNumberFormat="1" applyFont="1" applyFill="1" applyBorder="1" applyAlignment="1" applyProtection="1">
      <alignment vertical="center"/>
    </xf>
    <xf numFmtId="176" fontId="73" fillId="30" borderId="69" xfId="263" applyNumberFormat="1" applyFont="1" applyFill="1" applyBorder="1" applyAlignment="1" applyProtection="1">
      <alignment vertical="center"/>
    </xf>
    <xf numFmtId="0" fontId="62" fillId="30" borderId="135" xfId="224" applyFont="1" applyFill="1" applyBorder="1" applyAlignment="1" applyProtection="1">
      <alignment vertical="center"/>
    </xf>
    <xf numFmtId="0" fontId="62" fillId="30" borderId="136" xfId="224" applyFont="1" applyFill="1" applyBorder="1" applyAlignment="1" applyProtection="1">
      <alignment vertical="center"/>
    </xf>
    <xf numFmtId="176" fontId="73" fillId="30" borderId="138" xfId="224" applyNumberFormat="1" applyFont="1" applyFill="1" applyBorder="1" applyAlignment="1" applyProtection="1">
      <alignment vertical="center"/>
    </xf>
    <xf numFmtId="176" fontId="73" fillId="30" borderId="50" xfId="224" applyNumberFormat="1" applyFont="1" applyFill="1" applyBorder="1" applyAlignment="1" applyProtection="1">
      <alignment vertical="center"/>
    </xf>
    <xf numFmtId="176" fontId="73" fillId="30" borderId="74" xfId="224" applyNumberFormat="1" applyFont="1" applyFill="1" applyBorder="1" applyAlignment="1" applyProtection="1">
      <alignment vertical="center"/>
    </xf>
    <xf numFmtId="176" fontId="73" fillId="30" borderId="58" xfId="224" applyNumberFormat="1" applyFont="1" applyFill="1" applyBorder="1" applyAlignment="1" applyProtection="1">
      <alignment vertical="center"/>
    </xf>
    <xf numFmtId="0" fontId="38" fillId="30" borderId="0" xfId="224" applyFont="1" applyFill="1" applyAlignment="1" applyProtection="1">
      <alignment horizontal="right" vertical="center"/>
    </xf>
    <xf numFmtId="0" fontId="38" fillId="30" borderId="0" xfId="224" applyFont="1" applyFill="1" applyAlignment="1" applyProtection="1">
      <alignment vertical="center"/>
    </xf>
    <xf numFmtId="0" fontId="41" fillId="30" borderId="0" xfId="0" applyFont="1" applyFill="1" applyAlignment="1" applyProtection="1">
      <alignment vertical="center"/>
    </xf>
    <xf numFmtId="10" fontId="41" fillId="30" borderId="0" xfId="158" applyNumberFormat="1" applyFont="1" applyFill="1" applyAlignment="1" applyProtection="1">
      <alignment horizontal="right" vertical="center"/>
    </xf>
    <xf numFmtId="0" fontId="41" fillId="30" borderId="0" xfId="158" applyNumberFormat="1" applyFont="1" applyFill="1" applyAlignment="1" applyProtection="1">
      <alignment horizontal="right" vertical="center"/>
    </xf>
    <xf numFmtId="0" fontId="2" fillId="30" borderId="0" xfId="224" applyFill="1" applyAlignment="1" applyProtection="1">
      <alignment horizontal="right" vertical="center"/>
    </xf>
    <xf numFmtId="10" fontId="2" fillId="30" borderId="0" xfId="158" applyNumberFormat="1" applyFont="1" applyFill="1" applyAlignment="1" applyProtection="1">
      <alignment vertical="center"/>
    </xf>
    <xf numFmtId="10" fontId="2" fillId="30" borderId="0" xfId="158" applyNumberFormat="1" applyFont="1" applyFill="1" applyAlignment="1" applyProtection="1">
      <alignment horizontal="right" vertical="center"/>
    </xf>
    <xf numFmtId="177" fontId="62" fillId="33" borderId="72" xfId="0" applyNumberFormat="1" applyFont="1" applyFill="1" applyBorder="1" applyAlignment="1" applyProtection="1">
      <alignment vertical="center"/>
      <protection locked="0"/>
    </xf>
    <xf numFmtId="177" fontId="62" fillId="33" borderId="48" xfId="0" applyNumberFormat="1" applyFont="1" applyFill="1" applyBorder="1" applyAlignment="1" applyProtection="1">
      <alignment vertical="center"/>
      <protection locked="0"/>
    </xf>
    <xf numFmtId="177" fontId="62" fillId="34" borderId="48" xfId="0" applyNumberFormat="1" applyFont="1" applyFill="1" applyBorder="1" applyAlignment="1" applyProtection="1">
      <alignment vertical="center"/>
      <protection locked="0"/>
    </xf>
    <xf numFmtId="177" fontId="62" fillId="34" borderId="76" xfId="0" applyNumberFormat="1" applyFont="1" applyFill="1" applyBorder="1" applyAlignment="1" applyProtection="1">
      <alignment vertical="center"/>
      <protection locked="0"/>
    </xf>
    <xf numFmtId="177" fontId="62" fillId="34" borderId="31" xfId="0" applyNumberFormat="1" applyFont="1" applyFill="1" applyBorder="1" applyAlignment="1" applyProtection="1">
      <alignment vertical="center"/>
      <protection locked="0"/>
    </xf>
    <xf numFmtId="177" fontId="62" fillId="33" borderId="76" xfId="0" applyNumberFormat="1" applyFont="1" applyFill="1" applyBorder="1" applyAlignment="1" applyProtection="1">
      <alignment vertical="center"/>
      <protection locked="0"/>
    </xf>
    <xf numFmtId="177" fontId="62" fillId="34" borderId="72" xfId="0" applyNumberFormat="1" applyFont="1" applyFill="1" applyBorder="1" applyAlignment="1" applyProtection="1">
      <alignment vertical="center"/>
      <protection locked="0"/>
    </xf>
    <xf numFmtId="177" fontId="62" fillId="33" borderId="92" xfId="0" applyNumberFormat="1" applyFont="1" applyFill="1" applyBorder="1" applyAlignment="1" applyProtection="1">
      <alignment vertical="center"/>
      <protection locked="0"/>
    </xf>
    <xf numFmtId="177" fontId="62" fillId="33" borderId="54" xfId="0" applyNumberFormat="1" applyFont="1" applyFill="1" applyBorder="1" applyAlignment="1" applyProtection="1">
      <alignment vertical="center"/>
      <protection locked="0"/>
    </xf>
    <xf numFmtId="177" fontId="62" fillId="34" borderId="54" xfId="0" applyNumberFormat="1" applyFont="1" applyFill="1" applyBorder="1" applyAlignment="1" applyProtection="1">
      <alignment vertical="center"/>
      <protection locked="0"/>
    </xf>
    <xf numFmtId="177" fontId="62" fillId="34" borderId="88" xfId="0" applyNumberFormat="1" applyFont="1" applyFill="1" applyBorder="1" applyAlignment="1" applyProtection="1">
      <alignment vertical="center"/>
      <protection locked="0"/>
    </xf>
    <xf numFmtId="177" fontId="62" fillId="34" borderId="182" xfId="0" applyNumberFormat="1" applyFont="1" applyFill="1" applyBorder="1" applyAlignment="1" applyProtection="1">
      <alignment vertical="center"/>
      <protection locked="0"/>
    </xf>
    <xf numFmtId="176" fontId="62" fillId="34" borderId="92" xfId="0" applyNumberFormat="1" applyFont="1" applyFill="1" applyBorder="1" applyAlignment="1" applyProtection="1">
      <alignment vertical="center"/>
      <protection locked="0"/>
    </xf>
    <xf numFmtId="176" fontId="62" fillId="34" borderId="54" xfId="0" applyNumberFormat="1" applyFont="1" applyFill="1" applyBorder="1" applyAlignment="1" applyProtection="1">
      <alignment vertical="center"/>
      <protection locked="0"/>
    </xf>
    <xf numFmtId="176" fontId="62" fillId="33" borderId="54" xfId="0" applyNumberFormat="1" applyFont="1" applyFill="1" applyBorder="1" applyAlignment="1" applyProtection="1">
      <alignment vertical="center"/>
      <protection locked="0"/>
    </xf>
    <xf numFmtId="176" fontId="62" fillId="34" borderId="88" xfId="0" applyNumberFormat="1" applyFont="1" applyFill="1" applyBorder="1" applyAlignment="1" applyProtection="1">
      <alignment vertical="center"/>
      <protection locked="0"/>
    </xf>
    <xf numFmtId="176" fontId="62" fillId="33" borderId="182" xfId="0" applyNumberFormat="1" applyFont="1" applyFill="1" applyBorder="1" applyAlignment="1" applyProtection="1">
      <alignment vertical="center"/>
      <protection locked="0"/>
    </xf>
    <xf numFmtId="176" fontId="62" fillId="33" borderId="92" xfId="0" applyNumberFormat="1" applyFont="1" applyFill="1" applyBorder="1" applyAlignment="1" applyProtection="1">
      <alignment vertical="center"/>
      <protection locked="0"/>
    </xf>
    <xf numFmtId="176" fontId="62" fillId="34" borderId="182" xfId="0" applyNumberFormat="1" applyFont="1" applyFill="1" applyBorder="1" applyAlignment="1" applyProtection="1">
      <alignment vertical="center"/>
      <protection locked="0"/>
    </xf>
    <xf numFmtId="177" fontId="62" fillId="33" borderId="31" xfId="0" applyNumberFormat="1" applyFont="1" applyFill="1" applyBorder="1" applyAlignment="1" applyProtection="1">
      <alignment vertical="center"/>
      <protection locked="0"/>
    </xf>
    <xf numFmtId="4" fontId="62" fillId="33" borderId="82" xfId="0" applyNumberFormat="1" applyFont="1" applyFill="1" applyBorder="1" applyAlignment="1" applyProtection="1">
      <alignment vertical="center"/>
      <protection locked="0"/>
    </xf>
    <xf numFmtId="4" fontId="62" fillId="33" borderId="52" xfId="0" applyNumberFormat="1" applyFont="1" applyFill="1" applyBorder="1" applyAlignment="1" applyProtection="1">
      <alignment vertical="center"/>
      <protection locked="0"/>
    </xf>
    <xf numFmtId="4" fontId="62" fillId="33" borderId="83" xfId="0" applyNumberFormat="1" applyFont="1" applyFill="1" applyBorder="1" applyAlignment="1" applyProtection="1">
      <alignment vertical="center"/>
      <protection locked="0"/>
    </xf>
    <xf numFmtId="4" fontId="62" fillId="33" borderId="53" xfId="0" applyNumberFormat="1" applyFont="1" applyFill="1" applyBorder="1" applyAlignment="1" applyProtection="1">
      <alignment vertical="center"/>
      <protection locked="0"/>
    </xf>
    <xf numFmtId="4" fontId="62" fillId="34" borderId="72" xfId="0" applyNumberFormat="1" applyFont="1" applyFill="1" applyBorder="1" applyAlignment="1" applyProtection="1">
      <alignment vertical="center"/>
      <protection locked="0"/>
    </xf>
    <xf numFmtId="4" fontId="62" fillId="34" borderId="48" xfId="0" applyNumberFormat="1" applyFont="1" applyFill="1" applyBorder="1" applyAlignment="1" applyProtection="1">
      <alignment vertical="center"/>
      <protection locked="0"/>
    </xf>
    <xf numFmtId="4" fontId="62" fillId="33" borderId="48" xfId="0" applyNumberFormat="1" applyFont="1" applyFill="1" applyBorder="1" applyAlignment="1" applyProtection="1">
      <alignment vertical="center"/>
      <protection locked="0"/>
    </xf>
    <xf numFmtId="4" fontId="62" fillId="34" borderId="76" xfId="0" applyNumberFormat="1" applyFont="1" applyFill="1" applyBorder="1" applyAlignment="1" applyProtection="1">
      <alignment vertical="center"/>
      <protection locked="0"/>
    </xf>
    <xf numFmtId="4" fontId="62" fillId="33" borderId="31" xfId="0" applyNumberFormat="1" applyFont="1" applyFill="1" applyBorder="1" applyAlignment="1" applyProtection="1">
      <alignment vertical="center"/>
      <protection locked="0"/>
    </xf>
    <xf numFmtId="4" fontId="62" fillId="33" borderId="72" xfId="0" applyNumberFormat="1" applyFont="1" applyFill="1" applyBorder="1" applyAlignment="1" applyProtection="1">
      <alignment vertical="center"/>
      <protection locked="0"/>
    </xf>
    <xf numFmtId="4" fontId="62" fillId="34" borderId="31" xfId="0" applyNumberFormat="1" applyFont="1" applyFill="1" applyBorder="1" applyAlignment="1" applyProtection="1">
      <alignment vertical="center"/>
      <protection locked="0"/>
    </xf>
    <xf numFmtId="4" fontId="62" fillId="33" borderId="72" xfId="224" applyNumberFormat="1" applyFont="1" applyFill="1" applyBorder="1" applyAlignment="1" applyProtection="1">
      <alignment vertical="center"/>
      <protection locked="0"/>
    </xf>
    <xf numFmtId="4" fontId="62" fillId="33" borderId="48" xfId="224" applyNumberFormat="1" applyFont="1" applyFill="1" applyBorder="1" applyAlignment="1" applyProtection="1">
      <alignment vertical="center"/>
      <protection locked="0"/>
    </xf>
    <xf numFmtId="4" fontId="62" fillId="34" borderId="48" xfId="224" applyNumberFormat="1" applyFont="1" applyFill="1" applyBorder="1" applyAlignment="1" applyProtection="1">
      <alignment vertical="center"/>
      <protection locked="0"/>
    </xf>
    <xf numFmtId="4" fontId="62" fillId="34" borderId="76" xfId="224" applyNumberFormat="1" applyFont="1" applyFill="1" applyBorder="1" applyAlignment="1" applyProtection="1">
      <alignment vertical="center"/>
      <protection locked="0"/>
    </xf>
    <xf numFmtId="4" fontId="62" fillId="34" borderId="31" xfId="224" applyNumberFormat="1" applyFont="1" applyFill="1" applyBorder="1" applyAlignment="1" applyProtection="1">
      <alignment vertical="center"/>
      <protection locked="0"/>
    </xf>
    <xf numFmtId="4" fontId="62" fillId="33" borderId="76" xfId="0" applyNumberFormat="1" applyFont="1" applyFill="1" applyBorder="1" applyAlignment="1" applyProtection="1">
      <alignment vertical="center"/>
      <protection locked="0"/>
    </xf>
    <xf numFmtId="4" fontId="62" fillId="34" borderId="92" xfId="0" applyNumberFormat="1" applyFont="1" applyFill="1" applyBorder="1" applyAlignment="1" applyProtection="1">
      <alignment vertical="center"/>
      <protection locked="0"/>
    </xf>
    <xf numFmtId="4" fontId="62" fillId="34" borderId="54" xfId="0" applyNumberFormat="1" applyFont="1" applyFill="1" applyBorder="1" applyAlignment="1" applyProtection="1">
      <alignment vertical="center"/>
      <protection locked="0"/>
    </xf>
    <xf numFmtId="4" fontId="62" fillId="34" borderId="88" xfId="0" applyNumberFormat="1" applyFont="1" applyFill="1" applyBorder="1" applyAlignment="1" applyProtection="1">
      <alignment vertical="center"/>
      <protection locked="0"/>
    </xf>
    <xf numFmtId="4" fontId="62" fillId="33" borderId="182" xfId="0" applyNumberFormat="1" applyFont="1" applyFill="1" applyBorder="1" applyAlignment="1" applyProtection="1">
      <alignment vertical="center"/>
      <protection locked="0"/>
    </xf>
    <xf numFmtId="4" fontId="62" fillId="34" borderId="78" xfId="0" applyNumberFormat="1" applyFont="1" applyFill="1" applyBorder="1" applyAlignment="1" applyProtection="1">
      <alignment vertical="center"/>
      <protection locked="0"/>
    </xf>
    <xf numFmtId="4" fontId="62" fillId="34" borderId="79" xfId="0" applyNumberFormat="1" applyFont="1" applyFill="1" applyBorder="1" applyAlignment="1" applyProtection="1">
      <alignment vertical="center"/>
      <protection locked="0"/>
    </xf>
    <xf numFmtId="4" fontId="62" fillId="33" borderId="79" xfId="0" applyNumberFormat="1" applyFont="1" applyFill="1" applyBorder="1" applyAlignment="1" applyProtection="1">
      <alignment vertical="center"/>
      <protection locked="0"/>
    </xf>
    <xf numFmtId="4" fontId="62" fillId="34" borderId="80" xfId="0" applyNumberFormat="1" applyFont="1" applyFill="1" applyBorder="1" applyAlignment="1" applyProtection="1">
      <alignment vertical="center"/>
      <protection locked="0"/>
    </xf>
    <xf numFmtId="4" fontId="62" fillId="34" borderId="35" xfId="0" applyNumberFormat="1" applyFont="1" applyFill="1" applyBorder="1" applyAlignment="1" applyProtection="1">
      <alignment vertical="center"/>
      <protection locked="0"/>
    </xf>
    <xf numFmtId="0" fontId="59" fillId="30" borderId="0" xfId="0" applyFont="1" applyFill="1" applyAlignment="1">
      <alignment horizontal="right" vertical="top"/>
    </xf>
    <xf numFmtId="0" fontId="59" fillId="30" borderId="0" xfId="0" applyFont="1" applyFill="1" applyAlignment="1">
      <alignment vertical="top"/>
    </xf>
    <xf numFmtId="0" fontId="59" fillId="30" borderId="0" xfId="0" applyFont="1" applyFill="1" applyAlignment="1">
      <alignment horizontal="right"/>
    </xf>
    <xf numFmtId="0" fontId="59" fillId="30" borderId="0" xfId="0" applyFont="1" applyFill="1" applyAlignment="1">
      <alignment horizontal="center"/>
    </xf>
    <xf numFmtId="0" fontId="59" fillId="30" borderId="0" xfId="0" applyFont="1" applyFill="1"/>
    <xf numFmtId="0" fontId="0" fillId="30" borderId="0" xfId="0" applyFill="1" applyAlignment="1">
      <alignment vertical="top"/>
    </xf>
    <xf numFmtId="0" fontId="0" fillId="30" borderId="0" xfId="0" applyFill="1" applyAlignment="1">
      <alignment horizontal="right"/>
    </xf>
    <xf numFmtId="0" fontId="59" fillId="30" borderId="144" xfId="0" applyFont="1" applyFill="1" applyBorder="1" applyAlignment="1">
      <alignment horizontal="center"/>
    </xf>
    <xf numFmtId="0" fontId="59" fillId="30" borderId="189" xfId="0" applyFont="1" applyFill="1" applyBorder="1" applyAlignment="1">
      <alignment horizontal="center" vertical="center"/>
    </xf>
    <xf numFmtId="0" fontId="59" fillId="30" borderId="196" xfId="0" applyFont="1" applyFill="1" applyBorder="1" applyAlignment="1">
      <alignment horizontal="center" vertical="center"/>
    </xf>
    <xf numFmtId="0" fontId="59" fillId="30" borderId="23" xfId="0" applyFont="1" applyFill="1" applyBorder="1" applyAlignment="1">
      <alignment horizontal="center" vertical="center"/>
    </xf>
    <xf numFmtId="0" fontId="59" fillId="30" borderId="196" xfId="0" applyFont="1" applyFill="1" applyBorder="1" applyAlignment="1">
      <alignment horizontal="center" vertical="center" wrapText="1"/>
    </xf>
    <xf numFmtId="0" fontId="59" fillId="30" borderId="195" xfId="0" applyFont="1" applyFill="1" applyBorder="1" applyAlignment="1">
      <alignment horizontal="center" vertical="center" wrapText="1"/>
    </xf>
    <xf numFmtId="0" fontId="59" fillId="30" borderId="194" xfId="0" applyFont="1" applyFill="1" applyBorder="1" applyAlignment="1">
      <alignment horizontal="center" vertical="center" wrapText="1"/>
    </xf>
    <xf numFmtId="0" fontId="59" fillId="30" borderId="140" xfId="0" applyFont="1" applyFill="1" applyBorder="1" applyAlignment="1">
      <alignment horizontal="right" vertical="top"/>
    </xf>
    <xf numFmtId="0" fontId="59" fillId="30" borderId="141" xfId="0" applyFont="1" applyFill="1" applyBorder="1" applyAlignment="1">
      <alignment vertical="top" wrapText="1"/>
    </xf>
    <xf numFmtId="0" fontId="59" fillId="30" borderId="141" xfId="0" applyFont="1" applyFill="1" applyBorder="1" applyAlignment="1">
      <alignment vertical="center" wrapText="1"/>
    </xf>
    <xf numFmtId="0" fontId="59" fillId="30" borderId="143" xfId="0" applyFont="1" applyFill="1" applyBorder="1" applyAlignment="1">
      <alignment horizontal="right" vertical="center" wrapText="1"/>
    </xf>
    <xf numFmtId="0" fontId="59" fillId="30" borderId="0" xfId="0" applyFont="1" applyFill="1" applyAlignment="1">
      <alignment vertical="center"/>
    </xf>
    <xf numFmtId="178" fontId="59" fillId="30" borderId="193" xfId="0" applyNumberFormat="1" applyFont="1" applyFill="1" applyBorder="1" applyAlignment="1">
      <alignment horizontal="right" vertical="center"/>
    </xf>
    <xf numFmtId="178" fontId="59" fillId="30" borderId="0" xfId="0" applyNumberFormat="1" applyFont="1" applyFill="1" applyAlignment="1">
      <alignment horizontal="right" vertical="center"/>
    </xf>
    <xf numFmtId="178" fontId="59" fillId="30" borderId="192" xfId="0" applyNumberFormat="1" applyFont="1" applyFill="1" applyBorder="1" applyAlignment="1">
      <alignment horizontal="right" vertical="center"/>
    </xf>
    <xf numFmtId="178" fontId="59" fillId="30" borderId="181" xfId="0" applyNumberFormat="1" applyFont="1" applyFill="1" applyBorder="1" applyAlignment="1">
      <alignment horizontal="right" vertical="center"/>
    </xf>
    <xf numFmtId="178" fontId="59" fillId="30" borderId="191" xfId="0" applyNumberFormat="1" applyFont="1" applyFill="1" applyBorder="1" applyAlignment="1">
      <alignment horizontal="right" vertical="center"/>
    </xf>
    <xf numFmtId="178" fontId="59" fillId="30" borderId="190" xfId="0" applyNumberFormat="1" applyFont="1" applyFill="1" applyBorder="1" applyAlignment="1">
      <alignment horizontal="right" vertical="center"/>
    </xf>
    <xf numFmtId="0" fontId="59" fillId="30" borderId="16" xfId="0" applyFont="1" applyFill="1" applyBorder="1" applyAlignment="1">
      <alignment horizontal="right" vertical="top"/>
    </xf>
    <xf numFmtId="0" fontId="78" fillId="30" borderId="0" xfId="0" applyFont="1" applyFill="1" applyAlignment="1">
      <alignment horizontal="left" vertical="center" wrapText="1"/>
    </xf>
    <xf numFmtId="178" fontId="78" fillId="30" borderId="193" xfId="0" applyNumberFormat="1" applyFont="1" applyFill="1" applyBorder="1" applyAlignment="1">
      <alignment horizontal="right" wrapText="1"/>
    </xf>
    <xf numFmtId="178" fontId="78" fillId="30" borderId="0" xfId="0" applyNumberFormat="1" applyFont="1" applyFill="1" applyAlignment="1">
      <alignment horizontal="right" wrapText="1"/>
    </xf>
    <xf numFmtId="178" fontId="78" fillId="30" borderId="192" xfId="0" applyNumberFormat="1" applyFont="1" applyFill="1" applyBorder="1" applyAlignment="1">
      <alignment horizontal="right" wrapText="1"/>
    </xf>
    <xf numFmtId="178" fontId="78" fillId="30" borderId="181" xfId="0" applyNumberFormat="1" applyFont="1" applyFill="1" applyBorder="1" applyAlignment="1">
      <alignment horizontal="right" wrapText="1"/>
    </xf>
    <xf numFmtId="178" fontId="78" fillId="30" borderId="191" xfId="0" applyNumberFormat="1" applyFont="1" applyFill="1" applyBorder="1" applyAlignment="1">
      <alignment horizontal="right" wrapText="1"/>
    </xf>
    <xf numFmtId="178" fontId="78" fillId="30" borderId="190" xfId="0" applyNumberFormat="1" applyFont="1" applyFill="1" applyBorder="1" applyAlignment="1">
      <alignment horizontal="right" wrapText="1"/>
    </xf>
    <xf numFmtId="0" fontId="0" fillId="30" borderId="181" xfId="0" applyFill="1" applyBorder="1" applyAlignment="1">
      <alignment horizontal="right" vertical="center"/>
    </xf>
    <xf numFmtId="178" fontId="63" fillId="30" borderId="193" xfId="268" applyNumberFormat="1" applyFont="1" applyFill="1" applyBorder="1" applyAlignment="1">
      <alignment horizontal="right"/>
    </xf>
    <xf numFmtId="178" fontId="0" fillId="30" borderId="192" xfId="0" applyNumberFormat="1" applyFill="1" applyBorder="1" applyAlignment="1">
      <alignment horizontal="right" vertical="center"/>
    </xf>
    <xf numFmtId="178" fontId="0" fillId="30" borderId="181" xfId="0" applyNumberFormat="1" applyFill="1" applyBorder="1" applyAlignment="1">
      <alignment horizontal="right" vertical="center"/>
    </xf>
    <xf numFmtId="178" fontId="0" fillId="30" borderId="193" xfId="0" applyNumberFormat="1" applyFill="1" applyBorder="1" applyAlignment="1">
      <alignment horizontal="right"/>
    </xf>
    <xf numFmtId="178" fontId="0" fillId="30" borderId="192" xfId="0" applyNumberFormat="1" applyFill="1" applyBorder="1" applyAlignment="1">
      <alignment horizontal="right"/>
    </xf>
    <xf numFmtId="178" fontId="0" fillId="30" borderId="191" xfId="0" applyNumberFormat="1" applyFill="1" applyBorder="1" applyAlignment="1">
      <alignment horizontal="right"/>
    </xf>
    <xf numFmtId="178" fontId="0" fillId="30" borderId="190" xfId="0" applyNumberFormat="1" applyFill="1" applyBorder="1" applyAlignment="1">
      <alignment horizontal="right"/>
    </xf>
    <xf numFmtId="0" fontId="0" fillId="30" borderId="0" xfId="0" applyFill="1" applyAlignment="1">
      <alignment horizontal="left" vertical="top"/>
    </xf>
    <xf numFmtId="0" fontId="0" fillId="30" borderId="181" xfId="0" applyFill="1" applyBorder="1" applyAlignment="1">
      <alignment horizontal="right"/>
    </xf>
    <xf numFmtId="2" fontId="0" fillId="30" borderId="191" xfId="0" applyNumberFormat="1" applyFill="1" applyBorder="1" applyAlignment="1">
      <alignment horizontal="right"/>
    </xf>
    <xf numFmtId="0" fontId="78" fillId="30" borderId="0" xfId="0" applyFont="1" applyFill="1" applyAlignment="1">
      <alignment vertical="top"/>
    </xf>
    <xf numFmtId="0" fontId="78" fillId="30" borderId="181" xfId="0" applyFont="1" applyFill="1" applyBorder="1" applyAlignment="1">
      <alignment vertical="top"/>
    </xf>
    <xf numFmtId="0" fontId="78" fillId="30" borderId="0" xfId="0" applyFont="1" applyFill="1" applyAlignment="1">
      <alignment horizontal="left" vertical="top"/>
    </xf>
    <xf numFmtId="178" fontId="0" fillId="30" borderId="181" xfId="0" applyNumberFormat="1" applyFill="1" applyBorder="1" applyAlignment="1">
      <alignment horizontal="right"/>
    </xf>
    <xf numFmtId="0" fontId="59" fillId="30" borderId="0" xfId="0" applyFont="1" applyFill="1" applyAlignment="1">
      <alignment vertical="center" wrapText="1"/>
    </xf>
    <xf numFmtId="0" fontId="59" fillId="30" borderId="181" xfId="0" applyFont="1" applyFill="1" applyBorder="1" applyAlignment="1">
      <alignment horizontal="right" vertical="center" wrapText="1"/>
    </xf>
    <xf numFmtId="0" fontId="0" fillId="30" borderId="16" xfId="0" applyFill="1" applyBorder="1"/>
    <xf numFmtId="2" fontId="0" fillId="30" borderId="193" xfId="0" applyNumberFormat="1" applyFill="1" applyBorder="1" applyAlignment="1">
      <alignment horizontal="right"/>
    </xf>
    <xf numFmtId="2" fontId="0" fillId="30" borderId="192" xfId="0" applyNumberFormat="1" applyFill="1" applyBorder="1" applyAlignment="1">
      <alignment horizontal="right" vertical="center"/>
    </xf>
    <xf numFmtId="2" fontId="0" fillId="30" borderId="181" xfId="0" applyNumberFormat="1" applyFill="1" applyBorder="1" applyAlignment="1">
      <alignment horizontal="right" vertical="center"/>
    </xf>
    <xf numFmtId="2" fontId="0" fillId="30" borderId="192" xfId="0" applyNumberFormat="1" applyFill="1" applyBorder="1" applyAlignment="1">
      <alignment horizontal="right"/>
    </xf>
    <xf numFmtId="2" fontId="0" fillId="30" borderId="190" xfId="0" applyNumberFormat="1" applyFill="1" applyBorder="1" applyAlignment="1">
      <alignment horizontal="right"/>
    </xf>
    <xf numFmtId="0" fontId="0" fillId="30" borderId="0" xfId="0" applyFill="1" applyAlignment="1">
      <alignment horizontal="left"/>
    </xf>
    <xf numFmtId="0" fontId="59" fillId="30" borderId="21" xfId="0" applyFont="1" applyFill="1" applyBorder="1" applyAlignment="1">
      <alignment horizontal="right" vertical="top"/>
    </xf>
    <xf numFmtId="0" fontId="59" fillId="30" borderId="22" xfId="0" applyFont="1" applyFill="1" applyBorder="1" applyAlignment="1">
      <alignment vertical="top" wrapText="1"/>
    </xf>
    <xf numFmtId="0" fontId="0" fillId="30" borderId="22" xfId="0" applyFill="1" applyBorder="1"/>
    <xf numFmtId="0" fontId="0" fillId="30" borderId="23" xfId="0" applyFill="1" applyBorder="1" applyAlignment="1">
      <alignment horizontal="right" vertical="center"/>
    </xf>
    <xf numFmtId="178" fontId="0" fillId="30" borderId="189" xfId="0" applyNumberFormat="1" applyFill="1" applyBorder="1" applyAlignment="1">
      <alignment horizontal="right"/>
    </xf>
    <xf numFmtId="178" fontId="0" fillId="30" borderId="188" xfId="0" applyNumberFormat="1" applyFill="1" applyBorder="1" applyAlignment="1">
      <alignment horizontal="right" vertical="center"/>
    </xf>
    <xf numFmtId="178" fontId="0" fillId="30" borderId="23" xfId="0" applyNumberFormat="1" applyFill="1" applyBorder="1" applyAlignment="1">
      <alignment horizontal="right" vertical="center"/>
    </xf>
    <xf numFmtId="178" fontId="0" fillId="30" borderId="188" xfId="0" applyNumberFormat="1" applyFill="1" applyBorder="1" applyAlignment="1">
      <alignment horizontal="right"/>
    </xf>
    <xf numFmtId="0" fontId="59" fillId="30" borderId="135" xfId="0" applyFont="1" applyFill="1" applyBorder="1" applyAlignment="1">
      <alignment horizontal="left" vertical="top"/>
    </xf>
    <xf numFmtId="0" fontId="80" fillId="30" borderId="0" xfId="0" applyFont="1" applyFill="1" applyAlignment="1">
      <alignment wrapText="1"/>
    </xf>
    <xf numFmtId="0" fontId="59" fillId="30" borderId="0" xfId="0" applyFont="1" applyFill="1" applyAlignment="1">
      <alignment horizontal="left" vertical="top"/>
    </xf>
    <xf numFmtId="0" fontId="59" fillId="30" borderId="136" xfId="0" applyFont="1" applyFill="1" applyBorder="1"/>
    <xf numFmtId="0" fontId="59" fillId="30" borderId="136" xfId="0" applyFont="1" applyFill="1" applyBorder="1" applyAlignment="1">
      <alignment horizontal="center" vertical="top"/>
    </xf>
    <xf numFmtId="0" fontId="59" fillId="30" borderId="142" xfId="0" applyFont="1" applyFill="1" applyBorder="1" applyAlignment="1">
      <alignment horizontal="left"/>
    </xf>
    <xf numFmtId="0" fontId="78" fillId="30" borderId="0" xfId="0" applyFont="1" applyFill="1"/>
    <xf numFmtId="0" fontId="0" fillId="30" borderId="0" xfId="0" applyFill="1" applyAlignment="1">
      <alignment horizontal="right" vertical="top"/>
    </xf>
    <xf numFmtId="0" fontId="59" fillId="30" borderId="140" xfId="0" applyFont="1" applyFill="1" applyBorder="1" applyAlignment="1">
      <alignment horizontal="left" vertical="top"/>
    </xf>
    <xf numFmtId="0" fontId="59" fillId="30" borderId="143" xfId="0" applyFont="1" applyFill="1" applyBorder="1" applyAlignment="1">
      <alignment horizontal="left" vertical="top"/>
    </xf>
    <xf numFmtId="0" fontId="59" fillId="30" borderId="141" xfId="0" applyFont="1" applyFill="1" applyBorder="1"/>
    <xf numFmtId="0" fontId="0" fillId="30" borderId="141" xfId="0" applyFill="1" applyBorder="1" applyAlignment="1">
      <alignment horizontal="right" vertical="center"/>
    </xf>
    <xf numFmtId="0" fontId="0" fillId="30" borderId="143" xfId="0" applyFill="1" applyBorder="1" applyAlignment="1">
      <alignment horizontal="left" vertical="center"/>
    </xf>
    <xf numFmtId="0" fontId="59" fillId="30" borderId="16" xfId="0" applyFont="1" applyFill="1" applyBorder="1" applyAlignment="1">
      <alignment horizontal="left" vertical="top"/>
    </xf>
    <xf numFmtId="0" fontId="0" fillId="30" borderId="181" xfId="0" applyFill="1" applyBorder="1" applyAlignment="1">
      <alignment horizontal="left" vertical="top"/>
    </xf>
    <xf numFmtId="178" fontId="0" fillId="30" borderId="0" xfId="0" applyNumberFormat="1" applyFill="1" applyAlignment="1">
      <alignment horizontal="right" vertical="center"/>
    </xf>
    <xf numFmtId="0" fontId="0" fillId="30" borderId="181" xfId="0" applyFill="1" applyBorder="1" applyAlignment="1">
      <alignment horizontal="left" vertical="center"/>
    </xf>
    <xf numFmtId="0" fontId="63" fillId="30" borderId="0" xfId="268" applyFont="1" applyFill="1"/>
    <xf numFmtId="0" fontId="0" fillId="30" borderId="181" xfId="0" applyFill="1" applyBorder="1" applyAlignment="1">
      <alignment horizontal="left" vertical="top" wrapText="1"/>
    </xf>
    <xf numFmtId="0" fontId="0" fillId="30" borderId="0" xfId="0" applyFill="1" applyAlignment="1">
      <alignment wrapText="1"/>
    </xf>
    <xf numFmtId="0" fontId="59" fillId="30" borderId="181" xfId="0" applyFont="1" applyFill="1" applyBorder="1" applyAlignment="1">
      <alignment horizontal="left" vertical="top"/>
    </xf>
    <xf numFmtId="2" fontId="0" fillId="30" borderId="0" xfId="0" applyNumberFormat="1" applyFill="1" applyAlignment="1">
      <alignment horizontal="right" vertical="center"/>
    </xf>
    <xf numFmtId="0" fontId="0" fillId="30" borderId="181" xfId="0" applyFill="1" applyBorder="1" applyAlignment="1">
      <alignment vertical="top"/>
    </xf>
    <xf numFmtId="0" fontId="57" fillId="30" borderId="181" xfId="0" applyFont="1" applyFill="1" applyBorder="1" applyAlignment="1">
      <alignment horizontal="left" vertical="center"/>
    </xf>
    <xf numFmtId="0" fontId="59" fillId="30" borderId="21" xfId="0" applyFont="1" applyFill="1" applyBorder="1" applyAlignment="1">
      <alignment horizontal="left" vertical="top"/>
    </xf>
    <xf numFmtId="0" fontId="59" fillId="30" borderId="23" xfId="0" applyFont="1" applyFill="1" applyBorder="1" applyAlignment="1">
      <alignment horizontal="left" vertical="top" wrapText="1"/>
    </xf>
    <xf numFmtId="0" fontId="59" fillId="30" borderId="22" xfId="0" applyFont="1" applyFill="1" applyBorder="1"/>
    <xf numFmtId="178" fontId="0" fillId="30" borderId="22" xfId="0" applyNumberFormat="1" applyFill="1" applyBorder="1" applyAlignment="1">
      <alignment horizontal="right" vertical="center"/>
    </xf>
    <xf numFmtId="0" fontId="0" fillId="30" borderId="23" xfId="0" applyFill="1" applyBorder="1" applyAlignment="1">
      <alignment horizontal="left" vertical="center"/>
    </xf>
    <xf numFmtId="0" fontId="59" fillId="30" borderId="0" xfId="0" applyFont="1" applyFill="1" applyAlignment="1">
      <alignment horizontal="left"/>
    </xf>
    <xf numFmtId="0" fontId="59" fillId="30" borderId="135" xfId="0" applyFont="1" applyFill="1" applyBorder="1"/>
    <xf numFmtId="0" fontId="59" fillId="30" borderId="136" xfId="0" applyFont="1" applyFill="1" applyBorder="1" applyAlignment="1">
      <alignment vertical="center"/>
    </xf>
    <xf numFmtId="0" fontId="59" fillId="30" borderId="136" xfId="0" applyFont="1" applyFill="1" applyBorder="1" applyAlignment="1">
      <alignment horizontal="left" vertical="top"/>
    </xf>
    <xf numFmtId="0" fontId="59" fillId="30" borderId="142" xfId="0" applyFont="1" applyFill="1" applyBorder="1" applyAlignment="1">
      <alignment horizontal="left" vertical="top"/>
    </xf>
    <xf numFmtId="0" fontId="59" fillId="30" borderId="0" xfId="0" applyFont="1" applyFill="1" applyAlignment="1">
      <alignment horizontal="center" vertical="top"/>
    </xf>
    <xf numFmtId="0" fontId="78" fillId="30" borderId="0" xfId="0" applyFont="1" applyFill="1" applyAlignment="1">
      <alignment vertical="center"/>
    </xf>
    <xf numFmtId="0" fontId="59" fillId="30" borderId="143" xfId="0" applyFont="1" applyFill="1" applyBorder="1" applyAlignment="1">
      <alignment horizontal="left" vertical="center"/>
    </xf>
    <xf numFmtId="178" fontId="0" fillId="30" borderId="0" xfId="0" applyNumberFormat="1" applyFill="1" applyAlignment="1">
      <alignment horizontal="right" vertical="top"/>
    </xf>
    <xf numFmtId="0" fontId="0" fillId="30" borderId="181" xfId="0" applyFill="1" applyBorder="1" applyAlignment="1">
      <alignment horizontal="left" vertical="center" wrapText="1"/>
    </xf>
    <xf numFmtId="0" fontId="59" fillId="30" borderId="181" xfId="0" applyFont="1" applyFill="1" applyBorder="1" applyAlignment="1">
      <alignment horizontal="left" vertical="center"/>
    </xf>
    <xf numFmtId="2" fontId="0" fillId="30" borderId="0" xfId="0" applyNumberFormat="1" applyFill="1" applyAlignment="1">
      <alignment horizontal="right" vertical="top"/>
    </xf>
    <xf numFmtId="0" fontId="0" fillId="30" borderId="181" xfId="0" applyFill="1" applyBorder="1" applyAlignment="1">
      <alignment horizontal="left" wrapText="1"/>
    </xf>
    <xf numFmtId="0" fontId="57" fillId="30" borderId="181" xfId="0" applyFont="1" applyFill="1" applyBorder="1" applyAlignment="1">
      <alignment horizontal="left" vertical="top"/>
    </xf>
    <xf numFmtId="0" fontId="0" fillId="30" borderId="181" xfId="0" applyFill="1" applyBorder="1" applyAlignment="1">
      <alignment wrapText="1"/>
    </xf>
    <xf numFmtId="0" fontId="59" fillId="30" borderId="23" xfId="0" applyFont="1" applyFill="1" applyBorder="1" applyAlignment="1">
      <alignment horizontal="left" vertical="center" wrapText="1"/>
    </xf>
    <xf numFmtId="178" fontId="0" fillId="30" borderId="22" xfId="0" applyNumberFormat="1" applyFill="1" applyBorder="1" applyAlignment="1">
      <alignment horizontal="right" vertical="top"/>
    </xf>
    <xf numFmtId="0" fontId="0" fillId="30" borderId="23" xfId="0" applyFill="1" applyBorder="1" applyAlignment="1">
      <alignment horizontal="left" vertical="top"/>
    </xf>
    <xf numFmtId="0" fontId="59" fillId="30" borderId="135" xfId="0" applyFont="1" applyFill="1" applyBorder="1" applyAlignment="1">
      <alignment vertical="top"/>
    </xf>
    <xf numFmtId="0" fontId="59" fillId="30" borderId="0" xfId="0" applyFont="1" applyFill="1" applyAlignment="1">
      <alignment horizontal="left" vertical="center"/>
    </xf>
    <xf numFmtId="0" fontId="0" fillId="30" borderId="141" xfId="0" applyFill="1" applyBorder="1" applyAlignment="1">
      <alignment horizontal="right" vertical="top"/>
    </xf>
    <xf numFmtId="0" fontId="0" fillId="30" borderId="143" xfId="0" applyFill="1" applyBorder="1" applyAlignment="1">
      <alignment horizontal="left" vertical="top"/>
    </xf>
    <xf numFmtId="0" fontId="0" fillId="30" borderId="181" xfId="0" applyFill="1" applyBorder="1" applyAlignment="1">
      <alignment vertical="center"/>
    </xf>
    <xf numFmtId="0" fontId="59" fillId="30" borderId="136" xfId="0" applyFont="1" applyFill="1" applyBorder="1" applyAlignment="1">
      <alignment vertical="top"/>
    </xf>
    <xf numFmtId="0" fontId="59" fillId="30" borderId="136" xfId="0" applyFont="1" applyFill="1" applyBorder="1" applyAlignment="1">
      <alignment horizontal="center"/>
    </xf>
    <xf numFmtId="0" fontId="59" fillId="30" borderId="141" xfId="0" applyFont="1" applyFill="1" applyBorder="1" applyAlignment="1">
      <alignment horizontal="left" vertical="center"/>
    </xf>
    <xf numFmtId="0" fontId="59" fillId="30" borderId="140" xfId="0" applyFont="1" applyFill="1" applyBorder="1"/>
    <xf numFmtId="0" fontId="0" fillId="30" borderId="16" xfId="0" applyFill="1" applyBorder="1" applyAlignment="1">
      <alignment wrapText="1"/>
    </xf>
    <xf numFmtId="0" fontId="59" fillId="30" borderId="16" xfId="0" applyFont="1" applyFill="1" applyBorder="1"/>
    <xf numFmtId="0" fontId="0" fillId="30" borderId="16" xfId="0" applyFill="1" applyBorder="1" applyAlignment="1">
      <alignment horizontal="left" vertical="center" wrapText="1"/>
    </xf>
    <xf numFmtId="0" fontId="78" fillId="30" borderId="16" xfId="0" applyFont="1" applyFill="1" applyBorder="1"/>
    <xf numFmtId="0" fontId="59" fillId="30" borderId="22" xfId="0" applyFont="1" applyFill="1" applyBorder="1" applyAlignment="1">
      <alignment horizontal="left" vertical="center" wrapText="1"/>
    </xf>
    <xf numFmtId="0" fontId="59" fillId="30" borderId="21" xfId="0" applyFont="1" applyFill="1" applyBorder="1"/>
    <xf numFmtId="0" fontId="0" fillId="30" borderId="181" xfId="0" applyFill="1" applyBorder="1" applyAlignment="1">
      <alignment vertical="center" wrapText="1"/>
    </xf>
    <xf numFmtId="0" fontId="0" fillId="30" borderId="0" xfId="0" applyFill="1" applyBorder="1" applyAlignment="1">
      <alignment horizontal="right" vertical="top"/>
    </xf>
    <xf numFmtId="0" fontId="59" fillId="30" borderId="0" xfId="0" applyFont="1" applyFill="1" applyBorder="1"/>
    <xf numFmtId="178" fontId="0" fillId="30" borderId="0" xfId="0" applyNumberFormat="1" applyFill="1" applyBorder="1" applyAlignment="1">
      <alignment horizontal="right" vertical="top"/>
    </xf>
    <xf numFmtId="0" fontId="78" fillId="30" borderId="0" xfId="0" applyFont="1" applyFill="1" applyBorder="1"/>
    <xf numFmtId="178" fontId="0" fillId="30" borderId="141" xfId="0" applyNumberFormat="1" applyFill="1" applyBorder="1" applyAlignment="1">
      <alignment horizontal="right" vertical="top"/>
    </xf>
    <xf numFmtId="2" fontId="0" fillId="30" borderId="0" xfId="0" applyNumberFormat="1" applyFill="1" applyBorder="1" applyAlignment="1">
      <alignment horizontal="right" vertical="top"/>
    </xf>
    <xf numFmtId="0" fontId="78" fillId="30" borderId="22" xfId="0" applyFont="1" applyFill="1" applyBorder="1"/>
    <xf numFmtId="0" fontId="57" fillId="30" borderId="23" xfId="0" applyFont="1" applyFill="1" applyBorder="1" applyAlignment="1">
      <alignment horizontal="left" vertical="top"/>
    </xf>
    <xf numFmtId="0" fontId="0" fillId="30" borderId="0" xfId="0" applyFill="1" applyAlignment="1">
      <alignment vertical="top" wrapText="1"/>
    </xf>
    <xf numFmtId="0" fontId="59" fillId="30" borderId="0" xfId="0" applyFont="1" applyFill="1" applyAlignment="1">
      <alignment vertical="top" wrapText="1"/>
    </xf>
    <xf numFmtId="0" fontId="59" fillId="30" borderId="135" xfId="0" applyFont="1" applyFill="1" applyBorder="1" applyAlignment="1">
      <alignment vertical="center"/>
    </xf>
    <xf numFmtId="0" fontId="0" fillId="30" borderId="136" xfId="0" applyFill="1" applyBorder="1" applyAlignment="1">
      <alignment vertical="top" wrapText="1"/>
    </xf>
    <xf numFmtId="0" fontId="59" fillId="30" borderId="136" xfId="0" applyFont="1" applyFill="1" applyBorder="1" applyAlignment="1">
      <alignment horizontal="center" vertical="center"/>
    </xf>
    <xf numFmtId="0" fontId="59" fillId="30" borderId="142" xfId="0" applyFont="1" applyFill="1" applyBorder="1" applyAlignment="1">
      <alignment horizontal="left" vertical="center"/>
    </xf>
    <xf numFmtId="0" fontId="59" fillId="30" borderId="143" xfId="0" applyFont="1" applyFill="1" applyBorder="1" applyAlignment="1">
      <alignment horizontal="left" vertical="top" wrapText="1"/>
    </xf>
    <xf numFmtId="0" fontId="59" fillId="30" borderId="181" xfId="0" applyFont="1" applyFill="1" applyBorder="1" applyAlignment="1">
      <alignment horizontal="left" vertical="top" wrapText="1"/>
    </xf>
    <xf numFmtId="0" fontId="0" fillId="30" borderId="23" xfId="0" applyFill="1" applyBorder="1" applyAlignment="1">
      <alignment vertical="center" wrapText="1"/>
    </xf>
    <xf numFmtId="0" fontId="59" fillId="30" borderId="136" xfId="0" applyFont="1" applyFill="1" applyBorder="1" applyAlignment="1">
      <alignment vertical="top" wrapText="1"/>
    </xf>
    <xf numFmtId="0" fontId="59" fillId="30" borderId="143" xfId="0" applyFont="1" applyFill="1" applyBorder="1" applyAlignment="1">
      <alignment vertical="top" wrapText="1"/>
    </xf>
    <xf numFmtId="0" fontId="0" fillId="30" borderId="181" xfId="0" applyFill="1" applyBorder="1" applyAlignment="1">
      <alignment vertical="top" wrapText="1"/>
    </xf>
    <xf numFmtId="0" fontId="59" fillId="30" borderId="181" xfId="0" applyFont="1" applyFill="1" applyBorder="1" applyAlignment="1">
      <alignment vertical="top" wrapText="1"/>
    </xf>
    <xf numFmtId="0" fontId="59" fillId="30" borderId="23" xfId="0" applyFont="1" applyFill="1" applyBorder="1" applyAlignment="1">
      <alignment vertical="top" wrapText="1"/>
    </xf>
    <xf numFmtId="0" fontId="59" fillId="30" borderId="140" xfId="0" applyFont="1" applyFill="1" applyBorder="1" applyAlignment="1">
      <alignment vertical="top"/>
    </xf>
    <xf numFmtId="0" fontId="59" fillId="30" borderId="23" xfId="0" applyFont="1" applyFill="1" applyBorder="1" applyAlignment="1">
      <alignment horizontal="left" vertical="top"/>
    </xf>
    <xf numFmtId="0" fontId="59" fillId="30" borderId="16" xfId="0" applyFont="1" applyFill="1" applyBorder="1" applyAlignment="1">
      <alignment vertical="top"/>
    </xf>
    <xf numFmtId="0" fontId="59" fillId="30" borderId="21" xfId="0" applyFont="1" applyFill="1" applyBorder="1" applyAlignment="1">
      <alignment vertical="top"/>
    </xf>
    <xf numFmtId="0" fontId="0" fillId="30" borderId="0" xfId="0" applyFill="1" applyAlignment="1">
      <alignment horizontal="center" vertical="top"/>
    </xf>
    <xf numFmtId="0" fontId="59" fillId="30" borderId="135" xfId="0" applyFont="1" applyFill="1" applyBorder="1" applyAlignment="1">
      <alignment horizontal="left" vertical="center" wrapText="1"/>
    </xf>
    <xf numFmtId="0" fontId="59" fillId="30" borderId="135" xfId="0" applyFont="1" applyFill="1" applyBorder="1" applyAlignment="1">
      <alignment horizontal="left" vertical="center"/>
    </xf>
    <xf numFmtId="0" fontId="78" fillId="30" borderId="0" xfId="0" applyFont="1" applyFill="1" applyAlignment="1">
      <alignment horizontal="left" vertical="center"/>
    </xf>
    <xf numFmtId="0" fontId="59" fillId="30" borderId="140" xfId="0" applyFont="1" applyFill="1" applyBorder="1" applyAlignment="1">
      <alignment horizontal="left" vertical="center"/>
    </xf>
    <xf numFmtId="0" fontId="0" fillId="30" borderId="143" xfId="0" applyFill="1" applyBorder="1" applyAlignment="1">
      <alignment vertical="top"/>
    </xf>
    <xf numFmtId="0" fontId="78" fillId="30" borderId="16" xfId="0" applyFont="1" applyFill="1" applyBorder="1" applyAlignment="1">
      <alignment horizontal="left" vertical="center" wrapText="1"/>
    </xf>
    <xf numFmtId="178" fontId="78" fillId="30" borderId="0" xfId="0" applyNumberFormat="1" applyFont="1" applyFill="1" applyAlignment="1">
      <alignment horizontal="right" vertical="top"/>
    </xf>
    <xf numFmtId="0" fontId="78" fillId="30" borderId="0" xfId="0" applyFont="1" applyFill="1" applyAlignment="1">
      <alignment horizontal="right" vertical="top"/>
    </xf>
    <xf numFmtId="0" fontId="0" fillId="30" borderId="21" xfId="0" applyFill="1" applyBorder="1" applyAlignment="1">
      <alignment horizontal="left" vertical="top" wrapText="1"/>
    </xf>
    <xf numFmtId="2" fontId="78" fillId="30" borderId="22" xfId="0" applyNumberFormat="1" applyFont="1" applyFill="1" applyBorder="1" applyAlignment="1">
      <alignment horizontal="right" vertical="top"/>
    </xf>
    <xf numFmtId="0" fontId="0" fillId="30" borderId="23" xfId="0" applyFill="1" applyBorder="1" applyAlignment="1">
      <alignment vertical="top"/>
    </xf>
    <xf numFmtId="4" fontId="0" fillId="30" borderId="104" xfId="0" applyNumberFormat="1" applyFill="1" applyBorder="1"/>
    <xf numFmtId="4" fontId="0" fillId="30" borderId="30" xfId="0" applyNumberFormat="1" applyFill="1" applyBorder="1"/>
    <xf numFmtId="4" fontId="0" fillId="30" borderId="72" xfId="0" applyNumberFormat="1" applyFill="1" applyBorder="1"/>
    <xf numFmtId="4" fontId="0" fillId="30" borderId="76" xfId="0" applyNumberFormat="1" applyFill="1" applyBorder="1"/>
    <xf numFmtId="4" fontId="0" fillId="30" borderId="48" xfId="0" applyNumberFormat="1" applyFill="1" applyBorder="1"/>
    <xf numFmtId="4" fontId="0" fillId="30" borderId="71" xfId="0" applyNumberFormat="1" applyFill="1" applyBorder="1"/>
    <xf numFmtId="4" fontId="0" fillId="30" borderId="14" xfId="0" applyNumberFormat="1" applyFill="1" applyBorder="1"/>
    <xf numFmtId="4" fontId="0" fillId="30" borderId="180" xfId="0" applyNumberFormat="1" applyFill="1" applyBorder="1"/>
    <xf numFmtId="4" fontId="0" fillId="30" borderId="63" xfId="0" applyNumberFormat="1" applyFill="1" applyBorder="1"/>
    <xf numFmtId="4" fontId="0" fillId="32" borderId="30" xfId="0" applyNumberFormat="1" applyFill="1" applyBorder="1"/>
    <xf numFmtId="4" fontId="0" fillId="32" borderId="72" xfId="0" applyNumberFormat="1" applyFill="1" applyBorder="1"/>
    <xf numFmtId="4" fontId="0" fillId="32" borderId="48" xfId="0" applyNumberFormat="1" applyFill="1" applyBorder="1"/>
    <xf numFmtId="4" fontId="0" fillId="32" borderId="63" xfId="0" applyNumberFormat="1" applyFill="1" applyBorder="1"/>
    <xf numFmtId="4" fontId="0" fillId="30" borderId="146" xfId="0" applyNumberFormat="1" applyFill="1" applyBorder="1"/>
    <xf numFmtId="4" fontId="0" fillId="30" borderId="89" xfId="0" applyNumberFormat="1" applyFill="1" applyBorder="1"/>
    <xf numFmtId="4" fontId="0" fillId="30" borderId="92" xfId="0" applyNumberFormat="1" applyFill="1" applyBorder="1"/>
    <xf numFmtId="4" fontId="0" fillId="30" borderId="88" xfId="0" applyNumberFormat="1" applyFill="1" applyBorder="1"/>
    <xf numFmtId="4" fontId="0" fillId="30" borderId="54" xfId="0" applyNumberFormat="1" applyFill="1" applyBorder="1"/>
    <xf numFmtId="4" fontId="0" fillId="30" borderId="139" xfId="0" applyNumberFormat="1" applyFill="1" applyBorder="1"/>
    <xf numFmtId="4" fontId="0" fillId="30" borderId="157" xfId="0" applyNumberFormat="1" applyFill="1" applyBorder="1"/>
    <xf numFmtId="4" fontId="0" fillId="30" borderId="138" xfId="0" applyNumberFormat="1" applyFill="1" applyBorder="1"/>
    <xf numFmtId="4" fontId="0" fillId="30" borderId="74" xfId="0" applyNumberFormat="1" applyFill="1" applyBorder="1"/>
    <xf numFmtId="4" fontId="0" fillId="30" borderId="136" xfId="0" applyNumberFormat="1" applyFill="1" applyBorder="1"/>
    <xf numFmtId="4" fontId="0" fillId="30" borderId="50" xfId="0" applyNumberFormat="1" applyFill="1" applyBorder="1"/>
    <xf numFmtId="4" fontId="0" fillId="30" borderId="158" xfId="0" applyNumberFormat="1" applyFill="1" applyBorder="1"/>
    <xf numFmtId="4" fontId="0" fillId="30" borderId="137" xfId="0" applyNumberFormat="1" applyFill="1" applyBorder="1"/>
    <xf numFmtId="4" fontId="0" fillId="30" borderId="142" xfId="0" applyNumberFormat="1" applyFill="1" applyBorder="1"/>
    <xf numFmtId="0" fontId="0" fillId="30" borderId="0" xfId="0" applyFill="1" applyAlignment="1">
      <alignment horizontal="left" vertical="center"/>
    </xf>
    <xf numFmtId="179" fontId="0" fillId="33" borderId="144" xfId="0" applyNumberFormat="1" applyFill="1" applyBorder="1" applyAlignment="1" applyProtection="1">
      <alignment horizontal="center" vertical="center"/>
      <protection locked="0"/>
    </xf>
    <xf numFmtId="176" fontId="0" fillId="33" borderId="19" xfId="0" applyNumberFormat="1" applyFill="1" applyBorder="1" applyAlignment="1" applyProtection="1">
      <alignment horizontal="center" vertical="center"/>
      <protection locked="0"/>
    </xf>
    <xf numFmtId="177" fontId="0" fillId="30" borderId="107" xfId="0" applyNumberFormat="1" applyFill="1" applyBorder="1" applyAlignment="1" applyProtection="1">
      <alignment horizontal="right" vertical="center"/>
      <protection locked="0"/>
    </xf>
    <xf numFmtId="177" fontId="0" fillId="30" borderId="83" xfId="0" applyNumberFormat="1" applyFill="1" applyBorder="1" applyAlignment="1" applyProtection="1">
      <alignment horizontal="right" vertical="center"/>
      <protection locked="0"/>
    </xf>
    <xf numFmtId="177" fontId="0" fillId="30" borderId="85" xfId="0" applyNumberFormat="1" applyFill="1" applyBorder="1" applyAlignment="1" applyProtection="1">
      <alignment horizontal="right" vertical="center"/>
      <protection locked="0"/>
    </xf>
    <xf numFmtId="177" fontId="0" fillId="30" borderId="86" xfId="0" applyNumberFormat="1" applyFill="1" applyBorder="1" applyAlignment="1" applyProtection="1">
      <alignment horizontal="right" vertical="center"/>
      <protection locked="0"/>
    </xf>
    <xf numFmtId="177" fontId="0" fillId="30" borderId="78" xfId="0" applyNumberFormat="1" applyFill="1" applyBorder="1" applyAlignment="1" applyProtection="1">
      <alignment horizontal="right" vertical="center"/>
      <protection locked="0"/>
    </xf>
    <xf numFmtId="177" fontId="0" fillId="30" borderId="80" xfId="0" applyNumberFormat="1" applyFill="1" applyBorder="1" applyAlignment="1" applyProtection="1">
      <alignment horizontal="right" vertical="center"/>
      <protection locked="0"/>
    </xf>
    <xf numFmtId="177" fontId="0" fillId="30" borderId="79" xfId="0" applyNumberFormat="1" applyFill="1" applyBorder="1" applyAlignment="1" applyProtection="1">
      <alignment horizontal="right" vertical="center"/>
      <protection locked="0"/>
    </xf>
    <xf numFmtId="4" fontId="0" fillId="30" borderId="167" xfId="0" applyNumberFormat="1" applyFill="1" applyBorder="1"/>
    <xf numFmtId="4" fontId="0" fillId="30" borderId="169" xfId="0" applyNumberFormat="1" applyFill="1" applyBorder="1"/>
    <xf numFmtId="0" fontId="0" fillId="30" borderId="69" xfId="0" applyFill="1" applyBorder="1" applyAlignment="1">
      <alignment horizontal="center" vertical="center" wrapText="1"/>
    </xf>
    <xf numFmtId="4" fontId="0" fillId="40" borderId="76" xfId="0" applyNumberFormat="1" applyFill="1" applyBorder="1" applyProtection="1">
      <protection locked="0"/>
    </xf>
    <xf numFmtId="4" fontId="0" fillId="42" borderId="88" xfId="0" applyNumberFormat="1" applyFill="1" applyBorder="1" applyProtection="1"/>
    <xf numFmtId="4" fontId="0" fillId="42" borderId="100" xfId="0" applyNumberFormat="1" applyFill="1" applyBorder="1" applyProtection="1"/>
    <xf numFmtId="4" fontId="0" fillId="33" borderId="88" xfId="0" applyNumberFormat="1" applyFill="1" applyBorder="1" applyProtection="1">
      <protection locked="0"/>
    </xf>
    <xf numFmtId="4" fontId="0" fillId="32" borderId="84" xfId="0" applyNumberFormat="1" applyFill="1" applyBorder="1" applyAlignment="1" applyProtection="1">
      <alignment vertical="center" wrapText="1"/>
    </xf>
    <xf numFmtId="4" fontId="0" fillId="32" borderId="30" xfId="0" applyNumberFormat="1" applyFill="1" applyBorder="1" applyAlignment="1" applyProtection="1">
      <alignment vertical="center" wrapText="1"/>
    </xf>
    <xf numFmtId="4" fontId="0" fillId="30" borderId="30" xfId="0" applyNumberFormat="1" applyFill="1" applyBorder="1" applyAlignment="1" applyProtection="1">
      <alignment vertical="center" wrapText="1"/>
    </xf>
    <xf numFmtId="4" fontId="0" fillId="32" borderId="30" xfId="0" applyNumberFormat="1" applyFill="1" applyBorder="1" applyProtection="1"/>
    <xf numFmtId="4" fontId="0" fillId="32" borderId="89" xfId="0" applyNumberFormat="1" applyFill="1" applyBorder="1" applyProtection="1"/>
    <xf numFmtId="4" fontId="65" fillId="30" borderId="207" xfId="0" applyNumberFormat="1" applyFont="1" applyFill="1" applyBorder="1" applyProtection="1"/>
    <xf numFmtId="4" fontId="65" fillId="30" borderId="208" xfId="0" applyNumberFormat="1" applyFont="1" applyFill="1" applyBorder="1" applyProtection="1"/>
    <xf numFmtId="4" fontId="65" fillId="30" borderId="209" xfId="0" applyNumberFormat="1" applyFont="1" applyFill="1" applyBorder="1" applyProtection="1"/>
    <xf numFmtId="4" fontId="65" fillId="32" borderId="207" xfId="0" applyNumberFormat="1" applyFont="1" applyFill="1" applyBorder="1" applyProtection="1"/>
    <xf numFmtId="0" fontId="65" fillId="30" borderId="130" xfId="0" applyFont="1" applyFill="1" applyBorder="1" applyAlignment="1">
      <alignment horizontal="center" vertical="center"/>
    </xf>
    <xf numFmtId="0" fontId="65" fillId="30" borderId="210" xfId="0" applyFont="1" applyFill="1" applyBorder="1" applyAlignment="1">
      <alignment horizontal="center" vertical="center"/>
    </xf>
    <xf numFmtId="0" fontId="65" fillId="30" borderId="211" xfId="0" applyFont="1" applyFill="1" applyBorder="1" applyAlignment="1">
      <alignment horizontal="center" vertical="center"/>
    </xf>
    <xf numFmtId="0" fontId="65" fillId="30" borderId="134" xfId="0" applyFont="1" applyFill="1" applyBorder="1" applyAlignment="1">
      <alignment horizontal="left" vertical="center"/>
    </xf>
    <xf numFmtId="176" fontId="65" fillId="30" borderId="212" xfId="0" applyNumberFormat="1" applyFont="1" applyFill="1" applyBorder="1" applyAlignment="1">
      <alignment horizontal="center" vertical="center"/>
    </xf>
    <xf numFmtId="176" fontId="65" fillId="30" borderId="213" xfId="0" applyNumberFormat="1" applyFont="1" applyFill="1" applyBorder="1" applyAlignment="1">
      <alignment horizontal="center" vertical="center"/>
    </xf>
    <xf numFmtId="176" fontId="65" fillId="30" borderId="214" xfId="0" applyNumberFormat="1" applyFont="1" applyFill="1" applyBorder="1" applyAlignment="1">
      <alignment horizontal="center" vertical="center"/>
    </xf>
    <xf numFmtId="176" fontId="65" fillId="30" borderId="215" xfId="0" applyNumberFormat="1" applyFont="1" applyFill="1" applyBorder="1" applyAlignment="1">
      <alignment horizontal="center" vertical="center"/>
    </xf>
    <xf numFmtId="176" fontId="65" fillId="30" borderId="216" xfId="0" applyNumberFormat="1" applyFont="1" applyFill="1" applyBorder="1" applyAlignment="1">
      <alignment horizontal="center" vertical="center"/>
    </xf>
    <xf numFmtId="176" fontId="65" fillId="30" borderId="217" xfId="0" applyNumberFormat="1" applyFont="1" applyFill="1" applyBorder="1" applyAlignment="1">
      <alignment horizontal="center" vertical="center"/>
    </xf>
    <xf numFmtId="176" fontId="65" fillId="30" borderId="218" xfId="0" applyNumberFormat="1" applyFont="1" applyFill="1" applyBorder="1" applyAlignment="1">
      <alignment horizontal="center" vertical="center"/>
    </xf>
    <xf numFmtId="176" fontId="65" fillId="30" borderId="219" xfId="0" applyNumberFormat="1" applyFont="1" applyFill="1" applyBorder="1" applyAlignment="1">
      <alignment horizontal="center" vertical="center"/>
    </xf>
    <xf numFmtId="0" fontId="0" fillId="30" borderId="19" xfId="0" applyNumberFormat="1" applyFill="1" applyBorder="1"/>
    <xf numFmtId="4" fontId="0" fillId="34" borderId="83" xfId="0" applyNumberFormat="1" applyFill="1" applyBorder="1" applyAlignment="1" applyProtection="1">
      <alignment vertical="center" wrapText="1"/>
      <protection locked="0"/>
    </xf>
    <xf numFmtId="0" fontId="59" fillId="30" borderId="144" xfId="0" applyFont="1" applyFill="1" applyBorder="1" applyAlignment="1">
      <alignment horizontal="center" wrapText="1"/>
    </xf>
    <xf numFmtId="0" fontId="59" fillId="30" borderId="144" xfId="0" applyFont="1" applyFill="1" applyBorder="1" applyAlignment="1">
      <alignment horizontal="center" vertical="center" wrapText="1"/>
    </xf>
    <xf numFmtId="9" fontId="88" fillId="30" borderId="19" xfId="0" applyNumberFormat="1" applyFont="1" applyFill="1" applyBorder="1" applyAlignment="1" applyProtection="1">
      <alignment horizontal="center" vertical="center"/>
    </xf>
    <xf numFmtId="0" fontId="89" fillId="30" borderId="0" xfId="0" applyFont="1" applyFill="1" applyAlignment="1" applyProtection="1">
      <alignment vertical="center"/>
    </xf>
    <xf numFmtId="0" fontId="0" fillId="30" borderId="181" xfId="0" applyFill="1" applyBorder="1" applyAlignment="1">
      <alignment horizontal="left" vertical="center"/>
    </xf>
    <xf numFmtId="0" fontId="65" fillId="30" borderId="181" xfId="0" applyFont="1" applyFill="1" applyBorder="1" applyAlignment="1">
      <alignment horizontal="right" vertical="center"/>
    </xf>
    <xf numFmtId="178" fontId="90" fillId="30" borderId="193" xfId="268" applyNumberFormat="1" applyFont="1" applyFill="1" applyBorder="1" applyAlignment="1">
      <alignment horizontal="right"/>
    </xf>
    <xf numFmtId="178" fontId="65" fillId="30" borderId="192" xfId="0" applyNumberFormat="1" applyFont="1" applyFill="1" applyBorder="1" applyAlignment="1">
      <alignment horizontal="right" vertical="center"/>
    </xf>
    <xf numFmtId="178" fontId="65" fillId="30" borderId="181" xfId="0" applyNumberFormat="1" applyFont="1" applyFill="1" applyBorder="1" applyAlignment="1">
      <alignment horizontal="right" vertical="center"/>
    </xf>
    <xf numFmtId="178" fontId="65" fillId="30" borderId="193" xfId="0" applyNumberFormat="1" applyFont="1" applyFill="1" applyBorder="1" applyAlignment="1">
      <alignment horizontal="right"/>
    </xf>
    <xf numFmtId="0" fontId="65" fillId="30" borderId="0" xfId="0" applyFont="1" applyFill="1" applyAlignment="1">
      <alignment horizontal="right" vertical="center"/>
    </xf>
    <xf numFmtId="178" fontId="65" fillId="30" borderId="192" xfId="0" applyNumberFormat="1" applyFont="1" applyFill="1" applyBorder="1" applyAlignment="1">
      <alignment horizontal="right"/>
    </xf>
    <xf numFmtId="0" fontId="0" fillId="30" borderId="0" xfId="0" applyFill="1" applyAlignment="1" applyProtection="1">
      <alignment vertical="top"/>
      <protection locked="0"/>
    </xf>
    <xf numFmtId="0" fontId="0" fillId="30" borderId="0" xfId="0" applyFill="1" applyProtection="1">
      <protection locked="0"/>
    </xf>
    <xf numFmtId="0" fontId="62" fillId="30" borderId="0" xfId="0" applyFont="1" applyFill="1" applyAlignment="1" applyProtection="1">
      <alignment horizontal="right" vertical="top"/>
      <protection locked="0"/>
    </xf>
    <xf numFmtId="0" fontId="62" fillId="30" borderId="0" xfId="0" applyFont="1" applyFill="1" applyAlignment="1" applyProtection="1">
      <alignment vertical="top"/>
      <protection locked="0"/>
    </xf>
    <xf numFmtId="0" fontId="62" fillId="30" borderId="0" xfId="0" applyFont="1" applyFill="1" applyProtection="1">
      <protection locked="0"/>
    </xf>
    <xf numFmtId="0" fontId="62" fillId="30" borderId="0" xfId="0" applyFont="1" applyFill="1" applyAlignment="1" applyProtection="1">
      <alignment horizontal="right"/>
      <protection locked="0"/>
    </xf>
    <xf numFmtId="0" fontId="62" fillId="30" borderId="0" xfId="0" applyFont="1" applyFill="1" applyAlignment="1" applyProtection="1">
      <alignment horizontal="center" vertical="center"/>
      <protection locked="0"/>
    </xf>
    <xf numFmtId="178" fontId="65" fillId="30" borderId="0" xfId="0" applyNumberFormat="1" applyFont="1" applyFill="1" applyAlignment="1">
      <alignment horizontal="right" vertical="center"/>
    </xf>
    <xf numFmtId="0" fontId="65" fillId="30" borderId="181" xfId="0" applyFont="1" applyFill="1" applyBorder="1" applyAlignment="1">
      <alignment horizontal="left" vertical="center"/>
    </xf>
    <xf numFmtId="0" fontId="65" fillId="30" borderId="181" xfId="0" applyFont="1" applyFill="1" applyBorder="1" applyAlignment="1">
      <alignment horizontal="right" vertical="top"/>
    </xf>
    <xf numFmtId="0" fontId="62" fillId="30" borderId="0" xfId="0" applyFont="1" applyFill="1" applyAlignment="1" applyProtection="1">
      <alignment horizontal="left" vertical="top"/>
      <protection locked="0"/>
    </xf>
    <xf numFmtId="0" fontId="62" fillId="30" borderId="0" xfId="0" applyFont="1" applyFill="1" applyAlignment="1" applyProtection="1">
      <alignment horizontal="left"/>
      <protection locked="0"/>
    </xf>
    <xf numFmtId="0" fontId="75" fillId="30" borderId="0" xfId="0" applyFont="1" applyFill="1" applyAlignment="1" applyProtection="1">
      <alignment vertical="top"/>
      <protection locked="0"/>
    </xf>
    <xf numFmtId="0" fontId="75" fillId="30" borderId="0" xfId="0" applyFont="1" applyFill="1" applyProtection="1">
      <protection locked="0"/>
    </xf>
    <xf numFmtId="178" fontId="65" fillId="30" borderId="0" xfId="0" applyNumberFormat="1" applyFont="1" applyFill="1" applyAlignment="1">
      <alignment horizontal="right" vertical="top"/>
    </xf>
    <xf numFmtId="0" fontId="65" fillId="30" borderId="181" xfId="0" applyFont="1" applyFill="1" applyBorder="1" applyAlignment="1">
      <alignment horizontal="left" vertical="top"/>
    </xf>
    <xf numFmtId="0" fontId="62" fillId="30" borderId="0" xfId="0" applyFont="1" applyFill="1" applyAlignment="1" applyProtection="1">
      <alignment vertical="center"/>
      <protection locked="0"/>
    </xf>
    <xf numFmtId="0" fontId="75" fillId="30" borderId="0" xfId="0" applyFont="1" applyFill="1" applyAlignment="1" applyProtection="1">
      <alignment vertical="center"/>
      <protection locked="0"/>
    </xf>
    <xf numFmtId="0" fontId="59" fillId="30" borderId="0" xfId="0" applyFont="1" applyFill="1" applyAlignment="1" applyProtection="1">
      <alignment horizontal="left" vertical="top"/>
      <protection locked="0"/>
    </xf>
    <xf numFmtId="0" fontId="59" fillId="30" borderId="0" xfId="0" applyFont="1" applyFill="1" applyAlignment="1" applyProtection="1">
      <alignment vertical="center"/>
      <protection locked="0"/>
    </xf>
    <xf numFmtId="0" fontId="59" fillId="30" borderId="0" xfId="0" applyFont="1" applyFill="1" applyProtection="1">
      <protection locked="0"/>
    </xf>
    <xf numFmtId="0" fontId="0" fillId="30" borderId="0" xfId="0" applyFill="1" applyAlignment="1" applyProtection="1">
      <alignment horizontal="left" vertical="top"/>
      <protection locked="0"/>
    </xf>
    <xf numFmtId="0" fontId="0" fillId="30" borderId="0" xfId="0" applyFill="1" applyAlignment="1" applyProtection="1">
      <alignment vertical="center"/>
      <protection locked="0"/>
    </xf>
    <xf numFmtId="166" fontId="0" fillId="30" borderId="0" xfId="0" applyNumberFormat="1" applyFill="1" applyAlignment="1" applyProtection="1">
      <alignment horizontal="right" vertical="top"/>
      <protection locked="0"/>
    </xf>
    <xf numFmtId="166" fontId="0" fillId="30" borderId="0" xfId="0" applyNumberFormat="1" applyFill="1" applyAlignment="1" applyProtection="1">
      <alignment horizontal="right" vertical="center"/>
      <protection locked="0"/>
    </xf>
    <xf numFmtId="166" fontId="0" fillId="30" borderId="193" xfId="0" applyNumberFormat="1" applyFill="1" applyBorder="1" applyAlignment="1" applyProtection="1">
      <alignment horizontal="right"/>
      <protection locked="0"/>
    </xf>
    <xf numFmtId="166" fontId="0" fillId="30" borderId="192" xfId="0" applyNumberFormat="1" applyFill="1" applyBorder="1" applyAlignment="1" applyProtection="1">
      <alignment horizontal="right" vertical="center"/>
      <protection locked="0"/>
    </xf>
    <xf numFmtId="166" fontId="0" fillId="30" borderId="181" xfId="0" applyNumberFormat="1" applyFill="1" applyBorder="1" applyAlignment="1" applyProtection="1">
      <alignment horizontal="right" vertical="center"/>
      <protection locked="0"/>
    </xf>
    <xf numFmtId="0" fontId="59" fillId="30" borderId="16" xfId="0" applyFont="1" applyFill="1" applyBorder="1" applyAlignment="1" applyProtection="1">
      <alignment horizontal="left" vertical="top"/>
      <protection locked="0"/>
    </xf>
    <xf numFmtId="0" fontId="0" fillId="30" borderId="0" xfId="0" applyFill="1" applyAlignment="1" applyProtection="1">
      <alignment vertical="top" wrapText="1"/>
      <protection locked="0"/>
    </xf>
    <xf numFmtId="0" fontId="59" fillId="30" borderId="0" xfId="0" applyFont="1" applyFill="1" applyAlignment="1" applyProtection="1">
      <alignment vertical="top" wrapText="1"/>
      <protection locked="0"/>
    </xf>
    <xf numFmtId="0" fontId="59" fillId="30" borderId="0" xfId="0" applyFont="1" applyFill="1" applyAlignment="1" applyProtection="1">
      <alignment vertical="top"/>
      <protection locked="0"/>
    </xf>
    <xf numFmtId="0" fontId="78" fillId="30" borderId="0" xfId="0" applyFont="1" applyFill="1" applyAlignment="1" applyProtection="1">
      <alignment vertical="center"/>
      <protection locked="0"/>
    </xf>
    <xf numFmtId="0" fontId="78" fillId="30" borderId="0" xfId="0" applyFont="1" applyFill="1" applyProtection="1">
      <protection locked="0"/>
    </xf>
    <xf numFmtId="0" fontId="2" fillId="30" borderId="0" xfId="224" applyFill="1" applyProtection="1"/>
    <xf numFmtId="0" fontId="2" fillId="30" borderId="141" xfId="224" applyFill="1" applyBorder="1" applyProtection="1"/>
    <xf numFmtId="0" fontId="2" fillId="30" borderId="22" xfId="224" applyFill="1" applyBorder="1" applyProtection="1"/>
    <xf numFmtId="0" fontId="3" fillId="30" borderId="135" xfId="224" applyFont="1" applyFill="1" applyBorder="1" applyAlignment="1" applyProtection="1">
      <alignment horizontal="center"/>
    </xf>
    <xf numFmtId="0" fontId="3" fillId="30" borderId="57" xfId="224" applyFont="1" applyFill="1" applyBorder="1" applyAlignment="1" applyProtection="1">
      <alignment horizontal="center"/>
    </xf>
    <xf numFmtId="0" fontId="3" fillId="30" borderId="50" xfId="224" applyFont="1" applyFill="1" applyBorder="1" applyAlignment="1" applyProtection="1">
      <alignment horizontal="center"/>
    </xf>
    <xf numFmtId="0" fontId="3" fillId="30" borderId="136" xfId="224" applyFont="1" applyFill="1" applyBorder="1" applyAlignment="1" applyProtection="1">
      <alignment horizontal="center"/>
    </xf>
    <xf numFmtId="0" fontId="3" fillId="30" borderId="58" xfId="224" applyFont="1" applyFill="1" applyBorder="1" applyAlignment="1" applyProtection="1">
      <alignment horizontal="center"/>
    </xf>
    <xf numFmtId="0" fontId="3" fillId="30" borderId="47" xfId="224" applyFont="1" applyFill="1" applyBorder="1" applyAlignment="1" applyProtection="1">
      <alignment horizontal="center"/>
    </xf>
    <xf numFmtId="0" fontId="3" fillId="30" borderId="142" xfId="224" applyFont="1" applyFill="1" applyBorder="1" applyAlignment="1" applyProtection="1">
      <alignment horizontal="center"/>
    </xf>
    <xf numFmtId="0" fontId="3" fillId="30" borderId="140" xfId="224" applyFont="1" applyFill="1" applyBorder="1" applyAlignment="1" applyProtection="1">
      <alignment horizontal="center" vertical="center"/>
    </xf>
    <xf numFmtId="0" fontId="3" fillId="30" borderId="151" xfId="224" applyFont="1" applyFill="1" applyBorder="1" applyAlignment="1" applyProtection="1">
      <alignment horizontal="center" vertical="center"/>
    </xf>
    <xf numFmtId="0" fontId="3" fillId="30" borderId="150" xfId="224" applyFont="1" applyFill="1" applyBorder="1" applyAlignment="1" applyProtection="1">
      <alignment horizontal="center" vertical="center"/>
    </xf>
    <xf numFmtId="0" fontId="3" fillId="30" borderId="141" xfId="224" applyFont="1" applyFill="1" applyBorder="1" applyAlignment="1" applyProtection="1">
      <alignment horizontal="center" vertical="center"/>
    </xf>
    <xf numFmtId="0" fontId="3" fillId="30" borderId="174" xfId="224" applyFont="1" applyFill="1" applyBorder="1" applyAlignment="1" applyProtection="1">
      <alignment horizontal="center" vertical="center"/>
    </xf>
    <xf numFmtId="0" fontId="36" fillId="30" borderId="21" xfId="224" applyFont="1" applyFill="1" applyBorder="1" applyAlignment="1" applyProtection="1">
      <alignment horizontal="center" vertical="center"/>
    </xf>
    <xf numFmtId="0" fontId="36" fillId="30" borderId="22" xfId="224" applyFont="1" applyFill="1" applyBorder="1" applyAlignment="1" applyProtection="1">
      <alignment horizontal="center" vertical="center"/>
    </xf>
    <xf numFmtId="0" fontId="36" fillId="30" borderId="23" xfId="224" applyFont="1" applyFill="1" applyBorder="1" applyAlignment="1" applyProtection="1">
      <alignment horizontal="center" vertical="center"/>
    </xf>
    <xf numFmtId="0" fontId="3" fillId="30" borderId="21" xfId="224" applyFont="1" applyFill="1" applyBorder="1" applyAlignment="1" applyProtection="1">
      <alignment horizontal="center" vertical="center"/>
    </xf>
    <xf numFmtId="0" fontId="3" fillId="30" borderId="59" xfId="224" applyFont="1" applyFill="1" applyBorder="1" applyAlignment="1" applyProtection="1">
      <alignment horizontal="center" vertical="center"/>
    </xf>
    <xf numFmtId="0" fontId="3" fillId="30" borderId="60" xfId="224" applyFont="1" applyFill="1" applyBorder="1" applyAlignment="1" applyProtection="1">
      <alignment horizontal="center" vertical="center"/>
    </xf>
    <xf numFmtId="0" fontId="3" fillId="30" borderId="61" xfId="224" applyFont="1" applyFill="1" applyBorder="1" applyAlignment="1" applyProtection="1">
      <alignment horizontal="center" vertical="center"/>
    </xf>
    <xf numFmtId="0" fontId="3" fillId="30" borderId="62" xfId="224" applyFont="1" applyFill="1" applyBorder="1" applyAlignment="1" applyProtection="1">
      <alignment horizontal="center" vertical="center"/>
    </xf>
    <xf numFmtId="0" fontId="3" fillId="30" borderId="23" xfId="224" applyFont="1" applyFill="1" applyBorder="1" applyAlignment="1" applyProtection="1">
      <alignment horizontal="center" vertical="center"/>
    </xf>
    <xf numFmtId="0" fontId="3" fillId="30" borderId="27" xfId="224" applyFont="1" applyFill="1" applyBorder="1" applyProtection="1"/>
    <xf numFmtId="0" fontId="2" fillId="30" borderId="28" xfId="224" applyFill="1" applyBorder="1" applyProtection="1"/>
    <xf numFmtId="0" fontId="2" fillId="30" borderId="198" xfId="224" applyFill="1" applyBorder="1" applyProtection="1"/>
    <xf numFmtId="0" fontId="2" fillId="30" borderId="199" xfId="224" applyFill="1" applyBorder="1" applyProtection="1"/>
    <xf numFmtId="0" fontId="2" fillId="30" borderId="51" xfId="224" applyFill="1" applyBorder="1" applyProtection="1"/>
    <xf numFmtId="0" fontId="2" fillId="30" borderId="37" xfId="224" applyFill="1" applyBorder="1" applyProtection="1"/>
    <xf numFmtId="0" fontId="3" fillId="30" borderId="27" xfId="224" applyFont="1" applyFill="1" applyBorder="1" applyAlignment="1" applyProtection="1">
      <alignment horizontal="right"/>
    </xf>
    <xf numFmtId="0" fontId="3" fillId="30" borderId="28" xfId="224" applyFont="1" applyFill="1" applyBorder="1" applyProtection="1"/>
    <xf numFmtId="0" fontId="3" fillId="30" borderId="198" xfId="224" applyFont="1" applyFill="1" applyBorder="1" applyProtection="1"/>
    <xf numFmtId="0" fontId="2" fillId="30" borderId="27" xfId="224" applyFill="1" applyBorder="1" applyProtection="1"/>
    <xf numFmtId="0" fontId="2" fillId="30" borderId="28" xfId="224" applyFill="1" applyBorder="1" applyAlignment="1" applyProtection="1">
      <alignment horizontal="right"/>
    </xf>
    <xf numFmtId="3" fontId="38" fillId="30" borderId="198" xfId="263" applyNumberFormat="1" applyFont="1" applyFill="1" applyBorder="1" applyAlignment="1" applyProtection="1">
      <alignment horizontal="right"/>
    </xf>
    <xf numFmtId="2" fontId="2" fillId="30" borderId="199" xfId="224" applyNumberFormat="1" applyFill="1" applyBorder="1" applyProtection="1"/>
    <xf numFmtId="2" fontId="2" fillId="30" borderId="51" xfId="224" applyNumberFormat="1" applyFill="1" applyBorder="1" applyProtection="1"/>
    <xf numFmtId="2" fontId="2" fillId="32" borderId="199" xfId="224" applyNumberFormat="1" applyFill="1" applyBorder="1" applyProtection="1"/>
    <xf numFmtId="2" fontId="2" fillId="32" borderId="28" xfId="224" applyNumberFormat="1" applyFill="1" applyBorder="1" applyProtection="1"/>
    <xf numFmtId="2" fontId="2" fillId="32" borderId="198" xfId="224" applyNumberFormat="1" applyFill="1" applyBorder="1" applyProtection="1"/>
    <xf numFmtId="178" fontId="2" fillId="30" borderId="199" xfId="224" applyNumberFormat="1" applyFill="1" applyBorder="1" applyProtection="1"/>
    <xf numFmtId="178" fontId="2" fillId="30" borderId="51" xfId="224" applyNumberFormat="1" applyFill="1" applyBorder="1" applyProtection="1"/>
    <xf numFmtId="178" fontId="2" fillId="30" borderId="28" xfId="224" applyNumberFormat="1" applyFill="1" applyBorder="1" applyProtection="1"/>
    <xf numFmtId="178" fontId="2" fillId="30" borderId="198" xfId="224" applyNumberFormat="1" applyFill="1" applyBorder="1" applyProtection="1"/>
    <xf numFmtId="178" fontId="2" fillId="32" borderId="199" xfId="224" applyNumberFormat="1" applyFill="1" applyBorder="1" applyProtection="1"/>
    <xf numFmtId="178" fontId="2" fillId="32" borderId="51" xfId="224" applyNumberFormat="1" applyFill="1" applyBorder="1" applyProtection="1"/>
    <xf numFmtId="178" fontId="2" fillId="32" borderId="198" xfId="224" applyNumberFormat="1" applyFill="1" applyBorder="1" applyProtection="1"/>
    <xf numFmtId="4" fontId="2" fillId="30" borderId="199" xfId="224" applyNumberFormat="1" applyFill="1" applyBorder="1" applyProtection="1"/>
    <xf numFmtId="4" fontId="2" fillId="30" borderId="51" xfId="224" applyNumberFormat="1" applyFill="1" applyBorder="1" applyProtection="1"/>
    <xf numFmtId="4" fontId="2" fillId="30" borderId="28" xfId="224" applyNumberFormat="1" applyFill="1" applyBorder="1" applyProtection="1"/>
    <xf numFmtId="4" fontId="2" fillId="30" borderId="198" xfId="224" applyNumberFormat="1" applyFill="1" applyBorder="1" applyProtection="1"/>
    <xf numFmtId="0" fontId="3" fillId="30" borderId="0" xfId="224" applyFont="1" applyFill="1" applyProtection="1"/>
    <xf numFmtId="166" fontId="2" fillId="32" borderId="15" xfId="263" applyNumberFormat="1" applyFill="1" applyBorder="1" applyProtection="1"/>
    <xf numFmtId="166" fontId="2" fillId="32" borderId="48" xfId="263" applyNumberFormat="1" applyFill="1" applyBorder="1" applyProtection="1"/>
    <xf numFmtId="166" fontId="2" fillId="32" borderId="40" xfId="263" applyNumberFormat="1" applyFill="1" applyBorder="1" applyProtection="1"/>
    <xf numFmtId="166" fontId="2" fillId="32" borderId="39" xfId="263" applyNumberFormat="1" applyFill="1" applyBorder="1" applyProtection="1"/>
    <xf numFmtId="166" fontId="2" fillId="32" borderId="55" xfId="263" applyNumberFormat="1" applyFill="1" applyBorder="1" applyProtection="1"/>
    <xf numFmtId="0" fontId="2" fillId="30" borderId="198" xfId="224" applyFill="1" applyBorder="1" applyAlignment="1" applyProtection="1">
      <alignment horizontal="right"/>
    </xf>
    <xf numFmtId="0" fontId="3" fillId="30" borderId="28" xfId="224" applyFont="1" applyFill="1" applyBorder="1" applyAlignment="1" applyProtection="1">
      <alignment wrapText="1"/>
    </xf>
    <xf numFmtId="4" fontId="2" fillId="30" borderId="40" xfId="224" applyNumberFormat="1" applyFill="1" applyBorder="1" applyProtection="1"/>
    <xf numFmtId="166" fontId="2" fillId="30" borderId="15" xfId="263" applyNumberFormat="1" applyFill="1" applyBorder="1" applyProtection="1"/>
    <xf numFmtId="166" fontId="2" fillId="30" borderId="48" xfId="263" applyNumberFormat="1" applyFill="1" applyBorder="1" applyProtection="1"/>
    <xf numFmtId="166" fontId="2" fillId="30" borderId="40" xfId="263" applyNumberFormat="1" applyFill="1" applyBorder="1" applyProtection="1"/>
    <xf numFmtId="0" fontId="3" fillId="30" borderId="27" xfId="224" applyFont="1" applyFill="1" applyBorder="1" applyAlignment="1" applyProtection="1">
      <alignment vertical="center"/>
    </xf>
    <xf numFmtId="0" fontId="3" fillId="30" borderId="27" xfId="224" applyFont="1" applyFill="1" applyBorder="1" applyAlignment="1" applyProtection="1">
      <alignment horizontal="right" vertical="center"/>
    </xf>
    <xf numFmtId="0" fontId="3" fillId="30" borderId="14" xfId="224" applyFont="1" applyFill="1" applyBorder="1" applyAlignment="1" applyProtection="1">
      <alignment vertical="center"/>
    </xf>
    <xf numFmtId="3" fontId="38" fillId="30" borderId="198" xfId="263" applyNumberFormat="1" applyFont="1" applyFill="1" applyBorder="1" applyAlignment="1" applyProtection="1">
      <alignment horizontal="right" vertical="center"/>
    </xf>
    <xf numFmtId="166" fontId="2" fillId="32" borderId="15" xfId="263" applyNumberFormat="1" applyFill="1" applyBorder="1" applyAlignment="1" applyProtection="1">
      <alignment vertical="center"/>
    </xf>
    <xf numFmtId="166" fontId="2" fillId="32" borderId="48" xfId="263" applyNumberFormat="1" applyFill="1" applyBorder="1" applyAlignment="1" applyProtection="1">
      <alignment vertical="center"/>
    </xf>
    <xf numFmtId="166" fontId="2" fillId="32" borderId="40" xfId="263" applyNumberFormat="1" applyFill="1" applyBorder="1" applyAlignment="1" applyProtection="1">
      <alignment vertical="center"/>
    </xf>
    <xf numFmtId="166" fontId="2" fillId="32" borderId="39" xfId="263" applyNumberFormat="1" applyFill="1" applyBorder="1" applyAlignment="1" applyProtection="1">
      <alignment vertical="center"/>
    </xf>
    <xf numFmtId="166" fontId="2" fillId="32" borderId="55" xfId="263" applyNumberFormat="1" applyFill="1" applyBorder="1" applyAlignment="1" applyProtection="1">
      <alignment vertical="center"/>
    </xf>
    <xf numFmtId="0" fontId="3" fillId="30" borderId="28" xfId="224" applyFont="1" applyFill="1" applyBorder="1" applyAlignment="1" applyProtection="1">
      <alignment vertical="center"/>
    </xf>
    <xf numFmtId="0" fontId="3" fillId="30" borderId="32" xfId="224" applyFont="1" applyFill="1" applyBorder="1" applyAlignment="1" applyProtection="1">
      <alignment horizontal="right" vertical="center"/>
    </xf>
    <xf numFmtId="166" fontId="2" fillId="30" borderId="15" xfId="263" applyNumberFormat="1" applyFill="1" applyBorder="1" applyAlignment="1" applyProtection="1">
      <alignment vertical="center"/>
    </xf>
    <xf numFmtId="166" fontId="2" fillId="30" borderId="48" xfId="263" applyNumberFormat="1" applyFill="1" applyBorder="1" applyAlignment="1" applyProtection="1">
      <alignment vertical="center"/>
    </xf>
    <xf numFmtId="166" fontId="2" fillId="30" borderId="40" xfId="263" applyNumberFormat="1" applyFill="1" applyBorder="1" applyAlignment="1" applyProtection="1">
      <alignment vertical="center"/>
    </xf>
    <xf numFmtId="166" fontId="2" fillId="30" borderId="39" xfId="263" applyNumberFormat="1" applyFill="1" applyBorder="1" applyAlignment="1" applyProtection="1">
      <alignment vertical="center"/>
    </xf>
    <xf numFmtId="0" fontId="3" fillId="30" borderId="15" xfId="224" applyFont="1" applyFill="1" applyBorder="1" applyAlignment="1" applyProtection="1">
      <alignment horizontal="right" vertical="center"/>
    </xf>
    <xf numFmtId="0" fontId="3" fillId="30" borderId="28" xfId="224" applyFont="1" applyFill="1" applyBorder="1" applyAlignment="1" applyProtection="1">
      <alignment vertical="center" wrapText="1"/>
    </xf>
    <xf numFmtId="0" fontId="2" fillId="30" borderId="0" xfId="224" applyFill="1" applyAlignment="1" applyProtection="1">
      <alignment vertical="top"/>
    </xf>
    <xf numFmtId="0" fontId="2" fillId="30" borderId="21" xfId="224" applyFill="1" applyBorder="1" applyProtection="1"/>
    <xf numFmtId="0" fontId="2" fillId="30" borderId="23" xfId="224" applyFill="1" applyBorder="1" applyAlignment="1" applyProtection="1">
      <alignment horizontal="right"/>
    </xf>
    <xf numFmtId="4" fontId="82" fillId="30" borderId="197" xfId="224" applyNumberFormat="1" applyFont="1" applyFill="1" applyBorder="1" applyProtection="1"/>
    <xf numFmtId="4" fontId="82" fillId="30" borderId="61" xfId="224" applyNumberFormat="1" applyFont="1" applyFill="1" applyBorder="1" applyProtection="1"/>
    <xf numFmtId="4" fontId="82" fillId="30" borderId="22" xfId="224" applyNumberFormat="1" applyFont="1" applyFill="1" applyBorder="1" applyProtection="1"/>
    <xf numFmtId="4" fontId="82" fillId="30" borderId="23" xfId="224" applyNumberFormat="1" applyFont="1" applyFill="1" applyBorder="1" applyProtection="1"/>
    <xf numFmtId="0" fontId="2" fillId="30" borderId="16" xfId="224" applyFill="1" applyBorder="1" applyProtection="1"/>
    <xf numFmtId="0" fontId="2" fillId="30" borderId="201" xfId="224" applyFill="1" applyBorder="1" applyProtection="1"/>
    <xf numFmtId="4" fontId="2" fillId="30" borderId="201" xfId="224" applyNumberFormat="1" applyFill="1" applyBorder="1" applyProtection="1"/>
    <xf numFmtId="166" fontId="2" fillId="30" borderId="202" xfId="263" applyNumberFormat="1" applyFill="1" applyBorder="1" applyProtection="1"/>
    <xf numFmtId="4" fontId="2" fillId="30" borderId="202" xfId="263" applyNumberFormat="1" applyFill="1" applyBorder="1" applyAlignment="1" applyProtection="1"/>
    <xf numFmtId="4" fontId="82" fillId="30" borderId="189" xfId="224" applyNumberFormat="1" applyFont="1" applyFill="1" applyBorder="1" applyProtection="1"/>
    <xf numFmtId="0" fontId="5" fillId="37" borderId="0" xfId="224" applyFont="1" applyFill="1" applyAlignment="1" applyProtection="1">
      <alignment horizontal="center" vertical="center"/>
    </xf>
    <xf numFmtId="0" fontId="3" fillId="30" borderId="66" xfId="1" applyFont="1" applyFill="1" applyBorder="1" applyAlignment="1" applyProtection="1">
      <alignment horizontal="left" vertical="center"/>
    </xf>
    <xf numFmtId="0" fontId="3" fillId="30" borderId="24" xfId="1" applyFont="1" applyFill="1" applyBorder="1" applyAlignment="1" applyProtection="1">
      <alignment horizontal="left" vertical="center"/>
    </xf>
    <xf numFmtId="0" fontId="3" fillId="30" borderId="93" xfId="1" applyFont="1" applyFill="1" applyBorder="1" applyAlignment="1" applyProtection="1">
      <alignment horizontal="left" vertical="center"/>
    </xf>
    <xf numFmtId="0" fontId="2" fillId="0" borderId="0" xfId="224" applyAlignment="1" applyProtection="1">
      <alignment horizontal="left" vertical="center" wrapText="1"/>
    </xf>
    <xf numFmtId="0" fontId="3" fillId="31" borderId="25" xfId="263" applyNumberFormat="1" applyFont="1" applyFill="1" applyBorder="1" applyAlignment="1" applyProtection="1">
      <alignment horizontal="center" vertical="center"/>
      <protection locked="0"/>
    </xf>
    <xf numFmtId="0" fontId="3" fillId="31" borderId="26" xfId="263" applyNumberFormat="1" applyFont="1" applyFill="1" applyBorder="1" applyAlignment="1" applyProtection="1">
      <alignment horizontal="center" vertical="center"/>
      <protection locked="0"/>
    </xf>
    <xf numFmtId="0" fontId="3" fillId="31" borderId="20" xfId="263" applyNumberFormat="1" applyFont="1" applyFill="1" applyBorder="1" applyAlignment="1" applyProtection="1">
      <alignment horizontal="center" vertical="center"/>
      <protection locked="0"/>
    </xf>
    <xf numFmtId="0" fontId="65" fillId="30" borderId="0" xfId="0" applyFont="1" applyFill="1" applyAlignment="1" applyProtection="1">
      <alignment horizontal="left" vertical="center"/>
    </xf>
    <xf numFmtId="0" fontId="0" fillId="30" borderId="24" xfId="0" applyFill="1" applyBorder="1" applyAlignment="1" applyProtection="1">
      <alignment horizontal="left" vertical="center"/>
    </xf>
    <xf numFmtId="0" fontId="0" fillId="30" borderId="0" xfId="0" applyFill="1" applyAlignment="1" applyProtection="1">
      <alignment horizontal="left" vertical="center" wrapText="1"/>
    </xf>
    <xf numFmtId="0" fontId="66" fillId="30" borderId="25" xfId="0" applyFont="1" applyFill="1" applyBorder="1" applyAlignment="1" applyProtection="1">
      <alignment horizontal="center" vertical="center"/>
    </xf>
    <xf numFmtId="0" fontId="66" fillId="30" borderId="26" xfId="0" applyFont="1" applyFill="1" applyBorder="1" applyAlignment="1" applyProtection="1">
      <alignment horizontal="center" vertical="center"/>
    </xf>
    <xf numFmtId="0" fontId="66" fillId="30" borderId="136" xfId="0" applyFont="1" applyFill="1" applyBorder="1" applyAlignment="1" applyProtection="1">
      <alignment horizontal="center" vertical="center"/>
    </xf>
    <xf numFmtId="0" fontId="66" fillId="30" borderId="20" xfId="0" applyFont="1" applyFill="1" applyBorder="1" applyAlignment="1" applyProtection="1">
      <alignment horizontal="center" vertical="center"/>
    </xf>
    <xf numFmtId="0" fontId="42" fillId="30" borderId="25" xfId="258" applyFont="1" applyFill="1" applyBorder="1" applyAlignment="1" applyProtection="1">
      <alignment horizontal="center" vertical="center"/>
    </xf>
    <xf numFmtId="0" fontId="42" fillId="30" borderId="26" xfId="258" applyFont="1" applyFill="1" applyBorder="1" applyAlignment="1" applyProtection="1">
      <alignment horizontal="center" vertical="center"/>
    </xf>
    <xf numFmtId="0" fontId="42" fillId="30" borderId="20" xfId="258" applyFont="1" applyFill="1" applyBorder="1" applyAlignment="1" applyProtection="1">
      <alignment horizontal="center" vertical="center"/>
    </xf>
    <xf numFmtId="0" fontId="0" fillId="30" borderId="0" xfId="0" applyFill="1" applyAlignment="1" applyProtection="1">
      <alignment horizontal="left" vertical="center"/>
    </xf>
    <xf numFmtId="0" fontId="0" fillId="30" borderId="0" xfId="0" applyFill="1" applyAlignment="1" applyProtection="1">
      <alignment horizontal="left" vertical="top" wrapText="1"/>
    </xf>
    <xf numFmtId="0" fontId="0" fillId="30" borderId="84" xfId="0" applyFill="1" applyBorder="1" applyAlignment="1">
      <alignment horizontal="center" vertical="center"/>
    </xf>
    <xf numFmtId="0" fontId="0" fillId="30" borderId="160" xfId="0" applyFill="1" applyBorder="1" applyAlignment="1">
      <alignment horizontal="center" vertical="center"/>
    </xf>
    <xf numFmtId="0" fontId="34" fillId="30" borderId="135" xfId="258" applyFont="1" applyFill="1" applyBorder="1" applyAlignment="1" applyProtection="1">
      <alignment horizontal="center" vertical="center"/>
    </xf>
    <xf numFmtId="0" fontId="34" fillId="30" borderId="136" xfId="258" applyFont="1" applyFill="1" applyBorder="1" applyAlignment="1" applyProtection="1">
      <alignment horizontal="center" vertical="center"/>
    </xf>
    <xf numFmtId="0" fontId="0" fillId="30" borderId="152" xfId="0" applyFill="1" applyBorder="1" applyAlignment="1">
      <alignment horizontal="center" vertical="center"/>
    </xf>
    <xf numFmtId="0" fontId="0" fillId="30" borderId="141" xfId="0" applyFill="1" applyBorder="1" applyAlignment="1">
      <alignment horizontal="center" vertical="center"/>
    </xf>
    <xf numFmtId="0" fontId="0" fillId="30" borderId="143" xfId="0" applyFill="1" applyBorder="1" applyAlignment="1">
      <alignment horizontal="center" vertical="center"/>
    </xf>
    <xf numFmtId="0" fontId="0" fillId="30" borderId="147" xfId="0" applyFill="1" applyBorder="1" applyAlignment="1">
      <alignment horizontal="center" vertical="center"/>
    </xf>
    <xf numFmtId="0" fontId="0" fillId="30" borderId="104" xfId="0" applyFill="1" applyBorder="1" applyAlignment="1">
      <alignment horizontal="center" vertical="center"/>
    </xf>
    <xf numFmtId="0" fontId="0" fillId="30" borderId="75" xfId="0" applyFill="1" applyBorder="1" applyAlignment="1">
      <alignment horizontal="center" vertical="center"/>
    </xf>
    <xf numFmtId="0" fontId="65" fillId="30" borderId="0" xfId="0" applyFont="1" applyFill="1" applyAlignment="1" applyProtection="1">
      <alignment horizontal="center" vertical="center"/>
    </xf>
    <xf numFmtId="0" fontId="42" fillId="30" borderId="135" xfId="258" applyFont="1" applyFill="1" applyBorder="1" applyAlignment="1" applyProtection="1">
      <alignment horizontal="center" vertical="center"/>
    </xf>
    <xf numFmtId="0" fontId="42" fillId="30" borderId="136" xfId="258" applyFont="1" applyFill="1" applyBorder="1" applyAlignment="1" applyProtection="1">
      <alignment horizontal="center" vertical="center"/>
    </xf>
    <xf numFmtId="0" fontId="42" fillId="30" borderId="142" xfId="258" applyFont="1" applyFill="1" applyBorder="1" applyAlignment="1" applyProtection="1">
      <alignment horizontal="center" vertical="center"/>
    </xf>
    <xf numFmtId="0" fontId="34" fillId="30" borderId="25" xfId="258" applyFont="1" applyFill="1" applyBorder="1" applyAlignment="1" applyProtection="1">
      <alignment horizontal="center" vertical="center"/>
    </xf>
    <xf numFmtId="0" fontId="34" fillId="30" borderId="26" xfId="258" applyFont="1" applyFill="1" applyBorder="1" applyAlignment="1" applyProtection="1">
      <alignment horizontal="center" vertical="center"/>
    </xf>
    <xf numFmtId="0" fontId="34" fillId="30" borderId="20" xfId="258" applyFont="1" applyFill="1" applyBorder="1" applyAlignment="1" applyProtection="1">
      <alignment horizontal="center" vertical="center"/>
    </xf>
    <xf numFmtId="10" fontId="56" fillId="30" borderId="92" xfId="158" applyNumberFormat="1" applyFont="1" applyFill="1" applyBorder="1" applyAlignment="1">
      <alignment horizontal="center" vertical="center"/>
    </xf>
    <xf numFmtId="10" fontId="56" fillId="30" borderId="168" xfId="158" applyNumberFormat="1" applyFont="1" applyFill="1" applyBorder="1" applyAlignment="1">
      <alignment horizontal="center" vertical="center"/>
    </xf>
    <xf numFmtId="10" fontId="56" fillId="30" borderId="99" xfId="158" applyNumberFormat="1" applyFont="1" applyFill="1" applyBorder="1" applyAlignment="1">
      <alignment horizontal="center" vertical="center"/>
    </xf>
    <xf numFmtId="176" fontId="0" fillId="30" borderId="88" xfId="0" applyNumberFormat="1" applyFill="1" applyBorder="1" applyAlignment="1">
      <alignment horizontal="right" vertical="center"/>
    </xf>
    <xf numFmtId="176" fontId="0" fillId="30" borderId="169" xfId="0" applyNumberFormat="1" applyFill="1" applyBorder="1" applyAlignment="1">
      <alignment horizontal="right" vertical="center"/>
    </xf>
    <xf numFmtId="176" fontId="0" fillId="30" borderId="100" xfId="0" applyNumberFormat="1" applyFill="1" applyBorder="1" applyAlignment="1">
      <alignment horizontal="right" vertical="center"/>
    </xf>
    <xf numFmtId="10" fontId="56" fillId="30" borderId="88" xfId="158" applyNumberFormat="1" applyFont="1" applyFill="1" applyBorder="1" applyAlignment="1">
      <alignment horizontal="right" vertical="center"/>
    </xf>
    <xf numFmtId="10" fontId="56" fillId="30" borderId="169" xfId="158" applyNumberFormat="1" applyFont="1" applyFill="1" applyBorder="1" applyAlignment="1">
      <alignment horizontal="right" vertical="center"/>
    </xf>
    <xf numFmtId="10" fontId="56" fillId="30" borderId="100" xfId="158" applyNumberFormat="1" applyFont="1" applyFill="1" applyBorder="1" applyAlignment="1">
      <alignment horizontal="right" vertical="center"/>
    </xf>
    <xf numFmtId="0" fontId="67" fillId="30" borderId="22" xfId="0" applyFont="1" applyFill="1" applyBorder="1" applyAlignment="1">
      <alignment horizontal="center"/>
    </xf>
    <xf numFmtId="0" fontId="0" fillId="30" borderId="17" xfId="0" applyFill="1" applyBorder="1" applyAlignment="1">
      <alignment horizontal="center" vertical="center" wrapText="1"/>
    </xf>
    <xf numFmtId="0" fontId="0" fillId="30" borderId="21" xfId="0" applyFill="1" applyBorder="1" applyAlignment="1">
      <alignment horizontal="center" vertical="center" wrapText="1"/>
    </xf>
    <xf numFmtId="0" fontId="0" fillId="30" borderId="49" xfId="0" applyFill="1" applyBorder="1" applyAlignment="1">
      <alignment horizontal="center" vertical="center"/>
    </xf>
    <xf numFmtId="0" fontId="0" fillId="30" borderId="23" xfId="0" applyFill="1" applyBorder="1" applyAlignment="1">
      <alignment horizontal="center" vertical="center"/>
    </xf>
    <xf numFmtId="0" fontId="0" fillId="30" borderId="101" xfId="0" applyFill="1" applyBorder="1" applyAlignment="1">
      <alignment horizontal="center" vertical="center" wrapText="1"/>
    </xf>
    <xf numFmtId="0" fontId="0" fillId="30" borderId="102" xfId="0" applyFill="1" applyBorder="1" applyAlignment="1">
      <alignment horizontal="center" vertical="center" wrapText="1"/>
    </xf>
    <xf numFmtId="0" fontId="0" fillId="30" borderId="101" xfId="0" applyFill="1" applyBorder="1" applyAlignment="1">
      <alignment horizontal="center" vertical="center"/>
    </xf>
    <xf numFmtId="0" fontId="0" fillId="30" borderId="102" xfId="0" applyFill="1" applyBorder="1" applyAlignment="1">
      <alignment horizontal="center" vertical="center"/>
    </xf>
    <xf numFmtId="0" fontId="0" fillId="30" borderId="104" xfId="0" applyFill="1" applyBorder="1" applyAlignment="1">
      <alignment horizontal="center" vertical="center" wrapText="1"/>
    </xf>
    <xf numFmtId="0" fontId="0" fillId="30" borderId="75" xfId="0" applyFill="1" applyBorder="1" applyAlignment="1">
      <alignment horizontal="center" vertical="center" wrapText="1"/>
    </xf>
    <xf numFmtId="176" fontId="0" fillId="30" borderId="149" xfId="0" applyNumberFormat="1" applyFill="1" applyBorder="1" applyAlignment="1">
      <alignment horizontal="right" vertical="center"/>
    </xf>
    <xf numFmtId="176" fontId="0" fillId="30" borderId="99" xfId="0" applyNumberFormat="1" applyFill="1" applyBorder="1" applyAlignment="1">
      <alignment horizontal="right" vertical="center"/>
    </xf>
    <xf numFmtId="176" fontId="0" fillId="30" borderId="167" xfId="0" applyNumberFormat="1" applyFill="1" applyBorder="1" applyAlignment="1">
      <alignment horizontal="right" vertical="center"/>
    </xf>
    <xf numFmtId="176" fontId="0" fillId="30" borderId="92" xfId="0" applyNumberFormat="1" applyFill="1" applyBorder="1" applyAlignment="1">
      <alignment horizontal="right" vertical="center"/>
    </xf>
    <xf numFmtId="176" fontId="0" fillId="30" borderId="168" xfId="0" applyNumberFormat="1" applyFill="1" applyBorder="1" applyAlignment="1">
      <alignment horizontal="right" vertical="center"/>
    </xf>
    <xf numFmtId="176" fontId="0" fillId="30" borderId="87" xfId="0" applyNumberFormat="1" applyFill="1" applyBorder="1" applyAlignment="1">
      <alignment horizontal="right" vertical="center"/>
    </xf>
    <xf numFmtId="176" fontId="0" fillId="30" borderId="91" xfId="0" applyNumberFormat="1" applyFill="1" applyBorder="1" applyAlignment="1">
      <alignment horizontal="right" vertical="center"/>
    </xf>
    <xf numFmtId="10" fontId="0" fillId="30" borderId="149" xfId="158" applyNumberFormat="1" applyFont="1" applyFill="1" applyBorder="1" applyAlignment="1">
      <alignment horizontal="center" vertical="center"/>
    </xf>
    <xf numFmtId="10" fontId="0" fillId="30" borderId="99" xfId="158" applyNumberFormat="1" applyFont="1" applyFill="1" applyBorder="1" applyAlignment="1">
      <alignment horizontal="center" vertical="center"/>
    </xf>
    <xf numFmtId="0" fontId="0" fillId="30" borderId="167" xfId="0" applyNumberFormat="1" applyFill="1" applyBorder="1" applyAlignment="1">
      <alignment horizontal="right" vertical="center"/>
    </xf>
    <xf numFmtId="10" fontId="0" fillId="30" borderId="92" xfId="158" applyNumberFormat="1" applyFont="1" applyFill="1" applyBorder="1" applyAlignment="1">
      <alignment horizontal="center" vertical="center"/>
    </xf>
    <xf numFmtId="10" fontId="0" fillId="30" borderId="168" xfId="158" applyNumberFormat="1" applyFont="1" applyFill="1" applyBorder="1" applyAlignment="1">
      <alignment horizontal="center" vertical="center"/>
    </xf>
    <xf numFmtId="0" fontId="0" fillId="30" borderId="88" xfId="0" applyNumberFormat="1" applyFill="1" applyBorder="1" applyAlignment="1">
      <alignment horizontal="right" vertical="center"/>
    </xf>
    <xf numFmtId="10" fontId="0" fillId="32" borderId="92" xfId="158" applyNumberFormat="1" applyFont="1" applyFill="1" applyBorder="1" applyAlignment="1">
      <alignment horizontal="center" vertical="center"/>
    </xf>
    <xf numFmtId="10" fontId="0" fillId="32" borderId="168" xfId="158" applyNumberFormat="1" applyFont="1" applyFill="1" applyBorder="1" applyAlignment="1">
      <alignment horizontal="center" vertical="center"/>
    </xf>
    <xf numFmtId="10" fontId="0" fillId="32" borderId="99" xfId="158" applyNumberFormat="1" applyFont="1" applyFill="1" applyBorder="1" applyAlignment="1">
      <alignment horizontal="center" vertical="center"/>
    </xf>
    <xf numFmtId="176" fontId="0" fillId="38" borderId="88" xfId="0" applyNumberFormat="1" applyFill="1" applyBorder="1" applyAlignment="1">
      <alignment horizontal="right" vertical="center"/>
    </xf>
    <xf numFmtId="176" fontId="0" fillId="38" borderId="169" xfId="0" applyNumberFormat="1" applyFill="1" applyBorder="1" applyAlignment="1">
      <alignment horizontal="right" vertical="center"/>
    </xf>
    <xf numFmtId="176" fontId="0" fillId="38" borderId="100" xfId="0" applyNumberFormat="1" applyFill="1" applyBorder="1" applyAlignment="1">
      <alignment horizontal="right" vertical="center"/>
    </xf>
    <xf numFmtId="10" fontId="0" fillId="30" borderId="87" xfId="158" applyNumberFormat="1" applyFont="1" applyFill="1" applyBorder="1" applyAlignment="1">
      <alignment horizontal="center" vertical="center"/>
    </xf>
    <xf numFmtId="0" fontId="0" fillId="32" borderId="149" xfId="0" applyFill="1" applyBorder="1" applyAlignment="1">
      <alignment horizontal="center" vertical="center"/>
    </xf>
    <xf numFmtId="0" fontId="0" fillId="32" borderId="168" xfId="0" applyFill="1" applyBorder="1" applyAlignment="1">
      <alignment horizontal="center" vertical="center"/>
    </xf>
    <xf numFmtId="0" fontId="0" fillId="32" borderId="87" xfId="0" applyFill="1" applyBorder="1" applyAlignment="1">
      <alignment horizontal="center" vertical="center"/>
    </xf>
    <xf numFmtId="176" fontId="0" fillId="32" borderId="167" xfId="0" applyNumberFormat="1" applyFill="1" applyBorder="1" applyAlignment="1">
      <alignment horizontal="right" vertical="center"/>
    </xf>
    <xf numFmtId="176" fontId="0" fillId="32" borderId="169" xfId="0" applyNumberFormat="1" applyFill="1" applyBorder="1" applyAlignment="1">
      <alignment horizontal="right" vertical="center"/>
    </xf>
    <xf numFmtId="176" fontId="0" fillId="32" borderId="91" xfId="0" applyNumberFormat="1" applyFill="1" applyBorder="1" applyAlignment="1">
      <alignment horizontal="right" vertical="center"/>
    </xf>
    <xf numFmtId="10" fontId="56" fillId="30" borderId="149" xfId="158" applyNumberFormat="1" applyFont="1" applyFill="1" applyBorder="1" applyAlignment="1">
      <alignment horizontal="center" vertical="center"/>
    </xf>
    <xf numFmtId="10" fontId="56" fillId="30" borderId="167" xfId="158" applyNumberFormat="1" applyFont="1" applyFill="1" applyBorder="1" applyAlignment="1">
      <alignment horizontal="right" vertical="center"/>
    </xf>
    <xf numFmtId="10" fontId="56" fillId="30" borderId="91" xfId="158" applyNumberFormat="1" applyFont="1" applyFill="1" applyBorder="1" applyAlignment="1">
      <alignment horizontal="right" vertical="center"/>
    </xf>
    <xf numFmtId="0" fontId="0" fillId="30" borderId="170" xfId="0" applyFill="1" applyBorder="1" applyAlignment="1">
      <alignment horizontal="left" vertical="center"/>
    </xf>
    <xf numFmtId="0" fontId="0" fillId="30" borderId="171" xfId="0" applyFill="1" applyBorder="1" applyAlignment="1">
      <alignment horizontal="left" vertical="center"/>
    </xf>
    <xf numFmtId="0" fontId="0" fillId="30" borderId="172" xfId="0" applyFill="1" applyBorder="1" applyAlignment="1">
      <alignment horizontal="left" vertical="center"/>
    </xf>
    <xf numFmtId="0" fontId="0" fillId="30" borderId="64" xfId="0" applyFill="1" applyBorder="1" applyAlignment="1">
      <alignment horizontal="left" vertical="center"/>
    </xf>
    <xf numFmtId="0" fontId="0" fillId="30" borderId="173" xfId="0" applyFill="1" applyBorder="1" applyAlignment="1">
      <alignment horizontal="left" vertical="center"/>
    </xf>
    <xf numFmtId="0" fontId="34" fillId="30" borderId="142" xfId="258" applyFont="1" applyFill="1" applyBorder="1" applyAlignment="1" applyProtection="1">
      <alignment horizontal="center" vertical="center"/>
    </xf>
    <xf numFmtId="0" fontId="0" fillId="30" borderId="25" xfId="0" applyFill="1" applyBorder="1" applyAlignment="1">
      <alignment horizontal="center" vertical="center"/>
    </xf>
    <xf numFmtId="0" fontId="0" fillId="30" borderId="26" xfId="0" applyFill="1" applyBorder="1" applyAlignment="1">
      <alignment horizontal="center" vertical="center"/>
    </xf>
    <xf numFmtId="0" fontId="0" fillId="30" borderId="136" xfId="0" applyFill="1" applyBorder="1" applyAlignment="1">
      <alignment horizontal="center" vertical="center"/>
    </xf>
    <xf numFmtId="0" fontId="0" fillId="30" borderId="17" xfId="0" applyFill="1" applyBorder="1" applyAlignment="1">
      <alignment horizontal="center" vertical="center"/>
    </xf>
    <xf numFmtId="10" fontId="0" fillId="30" borderId="60" xfId="0" quotePrefix="1" applyNumberFormat="1" applyFill="1" applyBorder="1" applyAlignment="1">
      <alignment horizontal="center" vertical="center"/>
    </xf>
    <xf numFmtId="177" fontId="0" fillId="33" borderId="47" xfId="0" applyNumberFormat="1" applyFill="1" applyBorder="1" applyAlignment="1" applyProtection="1">
      <alignment horizontal="center" vertical="center"/>
      <protection locked="0"/>
    </xf>
    <xf numFmtId="177" fontId="0" fillId="33" borderId="50" xfId="0" applyNumberFormat="1" applyFill="1" applyBorder="1" applyAlignment="1" applyProtection="1">
      <alignment horizontal="center" vertical="center"/>
      <protection locked="0"/>
    </xf>
    <xf numFmtId="177" fontId="0" fillId="33" borderId="57" xfId="0" applyNumberFormat="1" applyFill="1" applyBorder="1" applyAlignment="1" applyProtection="1">
      <alignment horizontal="center" vertical="center"/>
      <protection locked="0"/>
    </xf>
    <xf numFmtId="0" fontId="0" fillId="30" borderId="149" xfId="0" applyFill="1" applyBorder="1" applyAlignment="1">
      <alignment horizontal="center" vertical="center" wrapText="1"/>
    </xf>
    <xf numFmtId="0" fontId="0" fillId="30" borderId="87" xfId="0" applyFill="1" applyBorder="1" applyAlignment="1">
      <alignment horizontal="center" vertical="center" wrapText="1"/>
    </xf>
    <xf numFmtId="0" fontId="0" fillId="30" borderId="150" xfId="0" applyFill="1" applyBorder="1" applyAlignment="1">
      <alignment horizontal="center" vertical="center"/>
    </xf>
    <xf numFmtId="0" fontId="0" fillId="30" borderId="60" xfId="0" applyFill="1" applyBorder="1" applyAlignment="1">
      <alignment horizontal="center" vertical="center"/>
    </xf>
    <xf numFmtId="0" fontId="0" fillId="30" borderId="151" xfId="0" applyFill="1" applyBorder="1" applyAlignment="1">
      <alignment horizontal="center" vertical="center" wrapText="1"/>
    </xf>
    <xf numFmtId="0" fontId="0" fillId="30" borderId="59" xfId="0" applyFill="1" applyBorder="1" applyAlignment="1">
      <alignment horizontal="center" vertical="center" wrapText="1"/>
    </xf>
    <xf numFmtId="0" fontId="67" fillId="30" borderId="17" xfId="0" applyFont="1" applyFill="1" applyBorder="1" applyAlignment="1">
      <alignment horizontal="center" vertical="center" textRotation="90"/>
    </xf>
    <xf numFmtId="0" fontId="67" fillId="30" borderId="16" xfId="0" applyFont="1" applyFill="1" applyBorder="1" applyAlignment="1">
      <alignment horizontal="center" vertical="center" textRotation="90"/>
    </xf>
    <xf numFmtId="0" fontId="67" fillId="30" borderId="21" xfId="0" applyFont="1" applyFill="1" applyBorder="1" applyAlignment="1">
      <alignment horizontal="center" vertical="center" textRotation="90"/>
    </xf>
    <xf numFmtId="0" fontId="0" fillId="30" borderId="18" xfId="0" applyFill="1" applyBorder="1" applyAlignment="1">
      <alignment horizontal="center" vertical="center"/>
    </xf>
    <xf numFmtId="0" fontId="0" fillId="30" borderId="149" xfId="0" applyFill="1" applyBorder="1" applyAlignment="1">
      <alignment horizontal="center" vertical="center"/>
    </xf>
    <xf numFmtId="0" fontId="0" fillId="30" borderId="87" xfId="0" applyFill="1" applyBorder="1" applyAlignment="1">
      <alignment horizontal="center" vertical="center"/>
    </xf>
    <xf numFmtId="0" fontId="0" fillId="30" borderId="174" xfId="0" applyFill="1" applyBorder="1" applyAlignment="1">
      <alignment horizontal="center" vertical="center"/>
    </xf>
    <xf numFmtId="0" fontId="0" fillId="30" borderId="62" xfId="0" applyFill="1" applyBorder="1" applyAlignment="1">
      <alignment horizontal="center" vertical="center"/>
    </xf>
    <xf numFmtId="0" fontId="0" fillId="30" borderId="150" xfId="0" applyFill="1" applyBorder="1" applyAlignment="1">
      <alignment horizontal="center" vertical="center" wrapText="1"/>
    </xf>
    <xf numFmtId="0" fontId="0" fillId="30" borderId="60" xfId="0" applyFill="1" applyBorder="1" applyAlignment="1">
      <alignment horizontal="center" vertical="center" wrapText="1"/>
    </xf>
    <xf numFmtId="0" fontId="0" fillId="30" borderId="149" xfId="0" applyFill="1" applyBorder="1" applyAlignment="1" applyProtection="1">
      <alignment horizontal="center" vertical="center"/>
    </xf>
    <xf numFmtId="0" fontId="0" fillId="30" borderId="87" xfId="0" applyFill="1" applyBorder="1" applyAlignment="1" applyProtection="1">
      <alignment horizontal="center" vertical="center"/>
    </xf>
    <xf numFmtId="0" fontId="0" fillId="30" borderId="174" xfId="0" applyFill="1" applyBorder="1" applyAlignment="1" applyProtection="1">
      <alignment horizontal="center" vertical="center"/>
    </xf>
    <xf numFmtId="0" fontId="0" fillId="30" borderId="62" xfId="0" applyFill="1" applyBorder="1" applyAlignment="1" applyProtection="1">
      <alignment horizontal="center" vertical="center"/>
    </xf>
    <xf numFmtId="0" fontId="0" fillId="30" borderId="17" xfId="0" applyFill="1" applyBorder="1" applyAlignment="1" applyProtection="1">
      <alignment horizontal="center" vertical="center"/>
    </xf>
    <xf numFmtId="0" fontId="0" fillId="30" borderId="49" xfId="0" applyFill="1" applyBorder="1" applyAlignment="1" applyProtection="1">
      <alignment horizontal="center" vertical="center"/>
    </xf>
    <xf numFmtId="0" fontId="0" fillId="30" borderId="25" xfId="0" applyFill="1" applyBorder="1" applyAlignment="1" applyProtection="1">
      <alignment horizontal="center" vertical="center"/>
    </xf>
    <xf numFmtId="0" fontId="0" fillId="30" borderId="26" xfId="0" applyFill="1" applyBorder="1" applyAlignment="1" applyProtection="1">
      <alignment horizontal="center" vertical="center"/>
    </xf>
    <xf numFmtId="0" fontId="0" fillId="30" borderId="136" xfId="0" applyFill="1" applyBorder="1" applyAlignment="1" applyProtection="1">
      <alignment horizontal="center" vertical="center"/>
    </xf>
    <xf numFmtId="0" fontId="67" fillId="30" borderId="17" xfId="0" applyFont="1" applyFill="1" applyBorder="1" applyAlignment="1" applyProtection="1">
      <alignment horizontal="center" vertical="center" textRotation="90"/>
    </xf>
    <xf numFmtId="0" fontId="67" fillId="30" borderId="16" xfId="0" applyFont="1" applyFill="1" applyBorder="1" applyAlignment="1" applyProtection="1">
      <alignment horizontal="center" vertical="center" textRotation="90"/>
    </xf>
    <xf numFmtId="0" fontId="67" fillId="30" borderId="21" xfId="0" applyFont="1" applyFill="1" applyBorder="1" applyAlignment="1" applyProtection="1">
      <alignment horizontal="center" vertical="center" textRotation="90"/>
    </xf>
    <xf numFmtId="10" fontId="0" fillId="30" borderId="60" xfId="0" quotePrefix="1" applyNumberFormat="1" applyFill="1" applyBorder="1" applyAlignment="1" applyProtection="1">
      <alignment horizontal="center" vertical="center"/>
    </xf>
    <xf numFmtId="0" fontId="0" fillId="30" borderId="18" xfId="0" applyFill="1" applyBorder="1" applyAlignment="1" applyProtection="1">
      <alignment horizontal="center" vertical="center"/>
    </xf>
    <xf numFmtId="0" fontId="0" fillId="30" borderId="101" xfId="0" applyFill="1" applyBorder="1" applyAlignment="1" applyProtection="1">
      <alignment horizontal="center" vertical="center"/>
    </xf>
    <xf numFmtId="0" fontId="0" fillId="30" borderId="102" xfId="0" applyFill="1" applyBorder="1" applyAlignment="1" applyProtection="1">
      <alignment horizontal="center" vertical="center"/>
    </xf>
    <xf numFmtId="0" fontId="0" fillId="30" borderId="149" xfId="0" applyFill="1" applyBorder="1" applyAlignment="1" applyProtection="1">
      <alignment horizontal="center" vertical="center" wrapText="1"/>
    </xf>
    <xf numFmtId="0" fontId="0" fillId="30" borderId="87" xfId="0" applyFill="1" applyBorder="1" applyAlignment="1" applyProtection="1">
      <alignment horizontal="center" vertical="center" wrapText="1"/>
    </xf>
    <xf numFmtId="0" fontId="0" fillId="30" borderId="150" xfId="0" applyFill="1" applyBorder="1" applyAlignment="1" applyProtection="1">
      <alignment horizontal="center" vertical="center"/>
    </xf>
    <xf numFmtId="0" fontId="0" fillId="30" borderId="60" xfId="0" applyFill="1" applyBorder="1" applyAlignment="1" applyProtection="1">
      <alignment horizontal="center" vertical="center"/>
    </xf>
    <xf numFmtId="0" fontId="0" fillId="30" borderId="151" xfId="0" applyFill="1" applyBorder="1" applyAlignment="1" applyProtection="1">
      <alignment horizontal="center" vertical="center" wrapText="1"/>
    </xf>
    <xf numFmtId="0" fontId="0" fillId="30" borderId="59" xfId="0" applyFill="1" applyBorder="1" applyAlignment="1" applyProtection="1">
      <alignment horizontal="center" vertical="center" wrapText="1"/>
    </xf>
    <xf numFmtId="0" fontId="0" fillId="30" borderId="150" xfId="0" applyFill="1" applyBorder="1" applyAlignment="1" applyProtection="1">
      <alignment horizontal="center" vertical="center" wrapText="1"/>
    </xf>
    <xf numFmtId="0" fontId="0" fillId="30" borderId="60" xfId="0" applyFill="1" applyBorder="1" applyAlignment="1" applyProtection="1">
      <alignment horizontal="center" vertical="center" wrapText="1"/>
    </xf>
    <xf numFmtId="177" fontId="0" fillId="33" borderId="158" xfId="0" applyNumberFormat="1" applyFill="1" applyBorder="1" applyAlignment="1" applyProtection="1">
      <alignment horizontal="center" vertical="center"/>
      <protection locked="0"/>
    </xf>
    <xf numFmtId="0" fontId="0" fillId="30" borderId="178" xfId="0" applyFill="1" applyBorder="1" applyAlignment="1">
      <alignment horizontal="center" vertical="center"/>
    </xf>
    <xf numFmtId="0" fontId="0" fillId="30" borderId="179" xfId="0" applyFill="1" applyBorder="1" applyAlignment="1">
      <alignment horizontal="center" vertical="center"/>
    </xf>
    <xf numFmtId="0" fontId="67" fillId="30" borderId="140" xfId="0" applyFont="1" applyFill="1" applyBorder="1" applyAlignment="1">
      <alignment horizontal="center" vertical="center" textRotation="90"/>
    </xf>
    <xf numFmtId="0" fontId="0" fillId="30" borderId="170" xfId="0" applyFill="1" applyBorder="1" applyAlignment="1">
      <alignment horizontal="center" vertical="center"/>
    </xf>
    <xf numFmtId="0" fontId="0" fillId="30" borderId="172" xfId="0" applyFill="1" applyBorder="1" applyAlignment="1">
      <alignment horizontal="center" vertical="center"/>
    </xf>
    <xf numFmtId="0" fontId="59" fillId="0" borderId="17" xfId="0" applyFont="1" applyBorder="1" applyAlignment="1" applyProtection="1">
      <alignment horizontal="left" vertical="center"/>
    </xf>
    <xf numFmtId="0" fontId="59" fillId="0" borderId="18" xfId="0" applyFont="1" applyBorder="1" applyAlignment="1" applyProtection="1">
      <alignment horizontal="left" vertical="center"/>
    </xf>
    <xf numFmtId="0" fontId="59" fillId="0" borderId="102" xfId="0" applyFont="1" applyBorder="1" applyAlignment="1" applyProtection="1">
      <alignment horizontal="left" vertical="center"/>
    </xf>
    <xf numFmtId="0" fontId="59" fillId="0" borderId="16" xfId="0" applyFont="1" applyBorder="1" applyAlignment="1" applyProtection="1">
      <alignment horizontal="left" vertical="center"/>
    </xf>
    <xf numFmtId="0" fontId="59" fillId="0" borderId="0" xfId="0" applyFont="1" applyBorder="1" applyAlignment="1" applyProtection="1">
      <alignment horizontal="left" vertical="center"/>
    </xf>
    <xf numFmtId="0" fontId="59" fillId="0" borderId="175" xfId="0" applyFont="1" applyBorder="1" applyAlignment="1" applyProtection="1">
      <alignment horizontal="left" vertical="center"/>
    </xf>
    <xf numFmtId="0" fontId="59" fillId="0" borderId="21" xfId="0" applyFont="1" applyBorder="1" applyAlignment="1" applyProtection="1">
      <alignment horizontal="left" vertical="center"/>
    </xf>
    <xf numFmtId="0" fontId="59" fillId="0" borderId="22" xfId="0" applyFont="1" applyBorder="1" applyAlignment="1" applyProtection="1">
      <alignment horizontal="left" vertical="center"/>
    </xf>
    <xf numFmtId="0" fontId="59" fillId="0" borderId="103" xfId="0" applyFont="1" applyBorder="1" applyAlignment="1" applyProtection="1">
      <alignment horizontal="left" vertical="center"/>
    </xf>
    <xf numFmtId="0" fontId="59" fillId="0" borderId="63" xfId="0" applyFont="1" applyBorder="1" applyAlignment="1" applyProtection="1">
      <alignment horizontal="center" vertical="center"/>
    </xf>
    <xf numFmtId="0" fontId="59" fillId="0" borderId="71" xfId="0" applyFont="1" applyBorder="1" applyAlignment="1" applyProtection="1">
      <alignment horizontal="center" vertical="center"/>
    </xf>
    <xf numFmtId="0" fontId="59" fillId="0" borderId="104" xfId="0" applyFont="1" applyBorder="1" applyAlignment="1" applyProtection="1">
      <alignment horizontal="center" vertical="center"/>
    </xf>
    <xf numFmtId="0" fontId="59" fillId="0" borderId="38" xfId="0" applyFont="1" applyBorder="1" applyAlignment="1" applyProtection="1">
      <alignment horizontal="center" vertical="center"/>
    </xf>
    <xf numFmtId="0" fontId="59" fillId="0" borderId="75" xfId="0" applyFont="1" applyBorder="1" applyAlignment="1" applyProtection="1">
      <alignment horizontal="center" vertical="center"/>
    </xf>
    <xf numFmtId="0" fontId="65" fillId="30" borderId="119" xfId="0" applyFont="1" applyFill="1" applyBorder="1" applyAlignment="1">
      <alignment horizontal="left" vertical="center"/>
    </xf>
    <xf numFmtId="0" fontId="65" fillId="30" borderId="122" xfId="0" applyFont="1" applyFill="1" applyBorder="1" applyAlignment="1">
      <alignment horizontal="left" vertical="center"/>
    </xf>
    <xf numFmtId="4" fontId="11" fillId="30" borderId="0" xfId="258" applyNumberFormat="1" applyFont="1" applyFill="1" applyAlignment="1" applyProtection="1">
      <alignment horizontal="center" vertical="center"/>
    </xf>
    <xf numFmtId="0" fontId="67" fillId="30" borderId="97" xfId="0" applyFont="1" applyFill="1" applyBorder="1" applyAlignment="1">
      <alignment horizontal="center" vertical="center" textRotation="90" wrapText="1"/>
    </xf>
    <xf numFmtId="0" fontId="73" fillId="30" borderId="140" xfId="224" applyFont="1" applyFill="1" applyBorder="1" applyAlignment="1" applyProtection="1">
      <alignment horizontal="center" vertical="center"/>
    </xf>
    <xf numFmtId="0" fontId="73" fillId="30" borderId="141" xfId="224" applyFont="1" applyFill="1" applyBorder="1" applyAlignment="1" applyProtection="1">
      <alignment horizontal="center" vertical="center"/>
    </xf>
    <xf numFmtId="0" fontId="73" fillId="30" borderId="16" xfId="224" applyFont="1" applyFill="1" applyBorder="1" applyAlignment="1" applyProtection="1">
      <alignment horizontal="center" vertical="center"/>
    </xf>
    <xf numFmtId="0" fontId="73" fillId="30" borderId="0" xfId="224" applyFont="1" applyFill="1" applyBorder="1" applyAlignment="1" applyProtection="1">
      <alignment horizontal="center" vertical="center"/>
    </xf>
    <xf numFmtId="0" fontId="73" fillId="30" borderId="21" xfId="224" applyFont="1" applyFill="1" applyBorder="1" applyAlignment="1" applyProtection="1">
      <alignment horizontal="center" vertical="center"/>
    </xf>
    <xf numFmtId="0" fontId="73" fillId="30" borderId="22" xfId="224" applyFont="1" applyFill="1" applyBorder="1" applyAlignment="1" applyProtection="1">
      <alignment horizontal="center" vertical="center"/>
    </xf>
    <xf numFmtId="0" fontId="73" fillId="30" borderId="147" xfId="224" applyFont="1" applyFill="1" applyBorder="1" applyAlignment="1" applyProtection="1">
      <alignment horizontal="center" vertical="center"/>
    </xf>
    <xf numFmtId="0" fontId="73" fillId="30" borderId="0" xfId="224" applyFont="1" applyFill="1" applyAlignment="1" applyProtection="1">
      <alignment horizontal="center" vertical="center"/>
    </xf>
    <xf numFmtId="0" fontId="73" fillId="30" borderId="175" xfId="224" applyFont="1" applyFill="1" applyBorder="1" applyAlignment="1" applyProtection="1">
      <alignment horizontal="center" vertical="center"/>
    </xf>
    <xf numFmtId="0" fontId="73" fillId="30" borderId="103" xfId="224" applyFont="1" applyFill="1" applyBorder="1" applyAlignment="1" applyProtection="1">
      <alignment horizontal="center" vertical="center"/>
    </xf>
    <xf numFmtId="0" fontId="73" fillId="30" borderId="152" xfId="224" applyFont="1" applyFill="1" applyBorder="1" applyAlignment="1" applyProtection="1">
      <alignment horizontal="center" vertical="center"/>
    </xf>
    <xf numFmtId="0" fontId="73" fillId="30" borderId="143" xfId="224" applyFont="1" applyFill="1" applyBorder="1" applyAlignment="1" applyProtection="1">
      <alignment horizontal="center" vertical="center"/>
    </xf>
    <xf numFmtId="0" fontId="73" fillId="30" borderId="72" xfId="224" applyFont="1" applyFill="1" applyBorder="1" applyAlignment="1" applyProtection="1">
      <alignment horizontal="center" vertical="center"/>
    </xf>
    <xf numFmtId="0" fontId="73" fillId="30" borderId="48" xfId="224" applyFont="1" applyFill="1" applyBorder="1" applyAlignment="1" applyProtection="1">
      <alignment horizontal="center" vertical="center"/>
    </xf>
    <xf numFmtId="0" fontId="73" fillId="30" borderId="76" xfId="224" applyFont="1" applyFill="1" applyBorder="1" applyAlignment="1" applyProtection="1">
      <alignment horizontal="center" vertical="center"/>
    </xf>
    <xf numFmtId="0" fontId="73" fillId="30" borderId="183" xfId="224" applyFont="1" applyFill="1" applyBorder="1" applyAlignment="1" applyProtection="1">
      <alignment horizontal="center" vertical="center"/>
    </xf>
    <xf numFmtId="0" fontId="73" fillId="30" borderId="181" xfId="224" applyFont="1" applyFill="1" applyBorder="1" applyAlignment="1" applyProtection="1">
      <alignment horizontal="center" vertical="center"/>
    </xf>
    <xf numFmtId="0" fontId="34" fillId="30" borderId="135" xfId="258" applyFont="1" applyFill="1" applyBorder="1" applyAlignment="1">
      <alignment horizontal="center" vertical="center"/>
    </xf>
    <xf numFmtId="0" fontId="34" fillId="30" borderId="136" xfId="258" applyFont="1" applyFill="1" applyBorder="1" applyAlignment="1">
      <alignment horizontal="center" vertical="center"/>
    </xf>
    <xf numFmtId="0" fontId="34" fillId="30" borderId="142" xfId="258" applyFont="1" applyFill="1" applyBorder="1" applyAlignment="1">
      <alignment horizontal="center" vertical="center"/>
    </xf>
    <xf numFmtId="0" fontId="73" fillId="30" borderId="140" xfId="0" applyFont="1" applyFill="1" applyBorder="1" applyAlignment="1">
      <alignment horizontal="center" vertical="center"/>
    </xf>
    <xf numFmtId="0" fontId="73" fillId="30" borderId="141" xfId="0" applyFont="1" applyFill="1" applyBorder="1" applyAlignment="1">
      <alignment horizontal="center" vertical="center"/>
    </xf>
    <xf numFmtId="0" fontId="73" fillId="30" borderId="147" xfId="0" applyFont="1" applyFill="1" applyBorder="1" applyAlignment="1">
      <alignment horizontal="center" vertical="center"/>
    </xf>
    <xf numFmtId="0" fontId="73" fillId="30" borderId="16" xfId="0" applyFont="1" applyFill="1" applyBorder="1" applyAlignment="1">
      <alignment horizontal="center" vertical="center"/>
    </xf>
    <xf numFmtId="0" fontId="73" fillId="30" borderId="0" xfId="0" applyFont="1" applyFill="1" applyAlignment="1">
      <alignment horizontal="center" vertical="center"/>
    </xf>
    <xf numFmtId="0" fontId="73" fillId="30" borderId="175" xfId="0" applyFont="1" applyFill="1" applyBorder="1" applyAlignment="1">
      <alignment horizontal="center" vertical="center"/>
    </xf>
    <xf numFmtId="0" fontId="73" fillId="30" borderId="21" xfId="0" applyFont="1" applyFill="1" applyBorder="1" applyAlignment="1">
      <alignment horizontal="center" vertical="center"/>
    </xf>
    <xf numFmtId="0" fontId="73" fillId="30" borderId="22" xfId="0" applyFont="1" applyFill="1" applyBorder="1" applyAlignment="1">
      <alignment horizontal="center" vertical="center"/>
    </xf>
    <xf numFmtId="0" fontId="73" fillId="30" borderId="103" xfId="0" applyFont="1" applyFill="1" applyBorder="1" applyAlignment="1">
      <alignment horizontal="center" vertical="center"/>
    </xf>
    <xf numFmtId="0" fontId="73" fillId="30" borderId="152" xfId="224" applyFont="1" applyFill="1" applyBorder="1" applyAlignment="1">
      <alignment horizontal="center" vertical="center"/>
    </xf>
    <xf numFmtId="0" fontId="73" fillId="30" borderId="141" xfId="224" applyFont="1" applyFill="1" applyBorder="1" applyAlignment="1">
      <alignment horizontal="center" vertical="center"/>
    </xf>
    <xf numFmtId="0" fontId="73" fillId="30" borderId="147" xfId="224" applyFont="1" applyFill="1" applyBorder="1" applyAlignment="1">
      <alignment horizontal="center" vertical="center"/>
    </xf>
    <xf numFmtId="0" fontId="73" fillId="30" borderId="170" xfId="0" applyFont="1" applyFill="1" applyBorder="1" applyAlignment="1">
      <alignment horizontal="center" vertical="center"/>
    </xf>
    <xf numFmtId="0" fontId="73" fillId="30" borderId="171" xfId="0" applyFont="1" applyFill="1" applyBorder="1" applyAlignment="1">
      <alignment horizontal="center" vertical="center"/>
    </xf>
    <xf numFmtId="0" fontId="73" fillId="30" borderId="172" xfId="0" applyFont="1" applyFill="1" applyBorder="1" applyAlignment="1">
      <alignment horizontal="center" vertical="center"/>
    </xf>
    <xf numFmtId="0" fontId="73" fillId="30" borderId="72" xfId="0" applyFont="1" applyFill="1" applyBorder="1" applyAlignment="1">
      <alignment horizontal="center" vertical="center"/>
    </xf>
    <xf numFmtId="0" fontId="73" fillId="30" borderId="48" xfId="0" applyFont="1" applyFill="1" applyBorder="1" applyAlignment="1">
      <alignment horizontal="center" vertical="center"/>
    </xf>
    <xf numFmtId="0" fontId="73" fillId="30" borderId="76" xfId="0" applyFont="1" applyFill="1" applyBorder="1" applyAlignment="1">
      <alignment horizontal="center" vertical="center"/>
    </xf>
    <xf numFmtId="0" fontId="42" fillId="30" borderId="135" xfId="258" applyFont="1" applyFill="1" applyBorder="1" applyAlignment="1">
      <alignment horizontal="center" vertical="center"/>
    </xf>
    <xf numFmtId="0" fontId="42" fillId="30" borderId="142" xfId="258" applyFont="1" applyFill="1" applyBorder="1" applyAlignment="1">
      <alignment horizontal="center" vertical="center"/>
    </xf>
    <xf numFmtId="0" fontId="42" fillId="30" borderId="136" xfId="258" applyFont="1" applyFill="1" applyBorder="1" applyAlignment="1">
      <alignment horizontal="center" vertical="center"/>
    </xf>
    <xf numFmtId="0" fontId="73" fillId="30" borderId="44" xfId="0" applyFont="1" applyFill="1" applyBorder="1" applyAlignment="1">
      <alignment horizontal="center" vertical="center"/>
    </xf>
    <xf numFmtId="0" fontId="73" fillId="30" borderId="38" xfId="0" applyFont="1" applyFill="1" applyBorder="1" applyAlignment="1">
      <alignment horizontal="center" vertical="center"/>
    </xf>
    <xf numFmtId="0" fontId="73" fillId="30" borderId="75" xfId="0" applyFont="1" applyFill="1" applyBorder="1" applyAlignment="1">
      <alignment horizontal="center" vertical="center"/>
    </xf>
    <xf numFmtId="0" fontId="73" fillId="30" borderId="15" xfId="0" applyFont="1" applyFill="1" applyBorder="1" applyAlignment="1">
      <alignment horizontal="center" vertical="center"/>
    </xf>
    <xf numFmtId="0" fontId="73" fillId="30" borderId="14" xfId="0" applyFont="1" applyFill="1" applyBorder="1" applyAlignment="1">
      <alignment horizontal="center" vertical="center"/>
    </xf>
    <xf numFmtId="0" fontId="73" fillId="30" borderId="71" xfId="0" applyFont="1" applyFill="1" applyBorder="1" applyAlignment="1">
      <alignment horizontal="center" vertical="center"/>
    </xf>
    <xf numFmtId="0" fontId="73" fillId="30" borderId="70" xfId="0" applyFont="1" applyFill="1" applyBorder="1" applyAlignment="1">
      <alignment horizontal="center" vertical="center"/>
    </xf>
    <xf numFmtId="0" fontId="73" fillId="30" borderId="67" xfId="0" applyFont="1" applyFill="1" applyBorder="1" applyAlignment="1">
      <alignment horizontal="center" vertical="center"/>
    </xf>
    <xf numFmtId="0" fontId="73" fillId="30" borderId="77" xfId="0" applyFont="1" applyFill="1" applyBorder="1" applyAlignment="1">
      <alignment horizontal="center" vertical="center"/>
    </xf>
    <xf numFmtId="0" fontId="73" fillId="30" borderId="148" xfId="0" applyFont="1" applyFill="1" applyBorder="1" applyAlignment="1">
      <alignment horizontal="center" vertical="center"/>
    </xf>
    <xf numFmtId="0" fontId="73" fillId="30" borderId="185" xfId="0" applyFont="1" applyFill="1" applyBorder="1" applyAlignment="1">
      <alignment horizontal="center" vertical="center"/>
    </xf>
    <xf numFmtId="0" fontId="73" fillId="30" borderId="90" xfId="0" applyFont="1" applyFill="1" applyBorder="1" applyAlignment="1">
      <alignment horizontal="center" vertical="center"/>
    </xf>
    <xf numFmtId="0" fontId="62" fillId="30" borderId="27" xfId="0" applyFont="1" applyFill="1" applyBorder="1" applyAlignment="1">
      <alignment horizontal="left" vertical="center"/>
    </xf>
    <xf numFmtId="0" fontId="62" fillId="30" borderId="28" xfId="0" applyFont="1" applyFill="1" applyBorder="1" applyAlignment="1">
      <alignment horizontal="left" vertical="center"/>
    </xf>
    <xf numFmtId="0" fontId="62" fillId="30" borderId="184" xfId="0" applyFont="1" applyFill="1" applyBorder="1" applyAlignment="1">
      <alignment horizontal="left" vertical="center"/>
    </xf>
    <xf numFmtId="0" fontId="62" fillId="30" borderId="15" xfId="0" applyFont="1" applyFill="1" applyBorder="1" applyAlignment="1">
      <alignment horizontal="left" vertical="center"/>
    </xf>
    <xf numFmtId="0" fontId="62" fillId="30" borderId="14" xfId="0" applyFont="1" applyFill="1" applyBorder="1" applyAlignment="1">
      <alignment horizontal="left" vertical="center"/>
    </xf>
    <xf numFmtId="0" fontId="62" fillId="30" borderId="71" xfId="0" applyFont="1" applyFill="1" applyBorder="1" applyAlignment="1">
      <alignment horizontal="left" vertical="center"/>
    </xf>
    <xf numFmtId="0" fontId="62" fillId="30" borderId="15" xfId="224" applyFont="1" applyFill="1" applyBorder="1" applyAlignment="1">
      <alignment horizontal="left" vertical="center"/>
    </xf>
    <xf numFmtId="0" fontId="62" fillId="30" borderId="14" xfId="224" applyFont="1" applyFill="1" applyBorder="1" applyAlignment="1">
      <alignment horizontal="left" vertical="center"/>
    </xf>
    <xf numFmtId="0" fontId="62" fillId="30" borderId="71" xfId="224" applyFont="1" applyFill="1" applyBorder="1" applyAlignment="1">
      <alignment horizontal="left" vertical="center"/>
    </xf>
    <xf numFmtId="0" fontId="62" fillId="30" borderId="70" xfId="0" applyFont="1" applyFill="1" applyBorder="1" applyAlignment="1">
      <alignment horizontal="left" vertical="center"/>
    </xf>
    <xf numFmtId="0" fontId="62" fillId="30" borderId="67" xfId="0" applyFont="1" applyFill="1" applyBorder="1" applyAlignment="1">
      <alignment horizontal="left" vertical="center"/>
    </xf>
    <xf numFmtId="0" fontId="62" fillId="30" borderId="77" xfId="0" applyFont="1" applyFill="1" applyBorder="1" applyAlignment="1">
      <alignment horizontal="left" vertical="center"/>
    </xf>
    <xf numFmtId="0" fontId="80" fillId="30" borderId="135" xfId="0" applyFont="1" applyFill="1" applyBorder="1" applyAlignment="1">
      <alignment horizontal="center" vertical="center"/>
    </xf>
    <xf numFmtId="0" fontId="80" fillId="30" borderId="136" xfId="0" applyFont="1" applyFill="1" applyBorder="1" applyAlignment="1">
      <alignment horizontal="center" vertical="center"/>
    </xf>
    <xf numFmtId="0" fontId="80" fillId="30" borderId="142" xfId="0" applyFont="1" applyFill="1" applyBorder="1" applyAlignment="1">
      <alignment horizontal="center" vertical="center"/>
    </xf>
    <xf numFmtId="0" fontId="59" fillId="30" borderId="135" xfId="0" applyFont="1" applyFill="1" applyBorder="1" applyAlignment="1">
      <alignment horizontal="center" vertical="center"/>
    </xf>
    <xf numFmtId="0" fontId="59" fillId="30" borderId="142" xfId="0" applyFont="1" applyFill="1" applyBorder="1" applyAlignment="1">
      <alignment horizontal="center" vertical="center"/>
    </xf>
    <xf numFmtId="0" fontId="59" fillId="30" borderId="135" xfId="0" applyFont="1" applyFill="1" applyBorder="1" applyAlignment="1">
      <alignment horizontal="center" vertical="center" wrapText="1"/>
    </xf>
    <xf numFmtId="0" fontId="59" fillId="30" borderId="136" xfId="0" applyFont="1" applyFill="1" applyBorder="1" applyAlignment="1">
      <alignment horizontal="center" vertical="center" wrapText="1"/>
    </xf>
    <xf numFmtId="0" fontId="59" fillId="30" borderId="142" xfId="0" applyFont="1" applyFill="1" applyBorder="1" applyAlignment="1">
      <alignment horizontal="center" vertical="center" wrapText="1"/>
    </xf>
    <xf numFmtId="0" fontId="0" fillId="30" borderId="0" xfId="0" applyFill="1" applyAlignment="1">
      <alignment horizontal="left" vertical="center"/>
    </xf>
    <xf numFmtId="0" fontId="0" fillId="30" borderId="181" xfId="0" applyFill="1" applyBorder="1" applyAlignment="1">
      <alignment horizontal="left" vertical="center"/>
    </xf>
    <xf numFmtId="0" fontId="78" fillId="30" borderId="0" xfId="0" applyFont="1" applyFill="1" applyAlignment="1">
      <alignment horizontal="left" vertical="center" wrapText="1"/>
    </xf>
    <xf numFmtId="0" fontId="78" fillId="30" borderId="181" xfId="0" applyFont="1" applyFill="1" applyBorder="1" applyAlignment="1">
      <alignment horizontal="left" vertical="center" wrapText="1"/>
    </xf>
    <xf numFmtId="0" fontId="80" fillId="30" borderId="136" xfId="0" applyFont="1" applyFill="1" applyBorder="1" applyAlignment="1">
      <alignment horizontal="center" wrapText="1"/>
    </xf>
    <xf numFmtId="0" fontId="80" fillId="30" borderId="142" xfId="0" applyFont="1" applyFill="1" applyBorder="1" applyAlignment="1">
      <alignment horizontal="center" wrapText="1"/>
    </xf>
    <xf numFmtId="0" fontId="59" fillId="30" borderId="135" xfId="0" applyFont="1" applyFill="1" applyBorder="1" applyAlignment="1">
      <alignment horizontal="left" vertical="top"/>
    </xf>
    <xf numFmtId="0" fontId="59" fillId="30" borderId="136" xfId="0" applyFont="1" applyFill="1" applyBorder="1" applyAlignment="1">
      <alignment horizontal="left" vertical="top"/>
    </xf>
    <xf numFmtId="0" fontId="80" fillId="30" borderId="135" xfId="0" applyFont="1" applyFill="1" applyBorder="1" applyAlignment="1">
      <alignment horizontal="center" wrapText="1"/>
    </xf>
    <xf numFmtId="0" fontId="83" fillId="30" borderId="135" xfId="258" applyFont="1" applyFill="1" applyBorder="1" applyAlignment="1" applyProtection="1">
      <alignment horizontal="center"/>
    </xf>
    <xf numFmtId="0" fontId="83" fillId="30" borderId="136" xfId="258" applyFont="1" applyFill="1" applyBorder="1" applyAlignment="1" applyProtection="1">
      <alignment horizontal="center"/>
    </xf>
    <xf numFmtId="0" fontId="83" fillId="30" borderId="142" xfId="258" applyFont="1" applyFill="1" applyBorder="1" applyAlignment="1" applyProtection="1">
      <alignment horizontal="center"/>
    </xf>
    <xf numFmtId="0" fontId="36" fillId="30" borderId="140" xfId="224" applyFont="1" applyFill="1" applyBorder="1" applyAlignment="1" applyProtection="1">
      <alignment horizontal="center" vertical="center"/>
    </xf>
    <xf numFmtId="0" fontId="36" fillId="30" borderId="141" xfId="224" applyFont="1" applyFill="1" applyBorder="1" applyAlignment="1" applyProtection="1">
      <alignment horizontal="center" vertical="center"/>
    </xf>
    <xf numFmtId="0" fontId="36" fillId="30" borderId="143" xfId="224" applyFont="1" applyFill="1" applyBorder="1" applyAlignment="1" applyProtection="1">
      <alignment horizontal="center" vertical="center"/>
    </xf>
    <xf numFmtId="0" fontId="36" fillId="30" borderId="16" xfId="224" applyFont="1" applyFill="1" applyBorder="1" applyAlignment="1" applyProtection="1">
      <alignment horizontal="center" vertical="center"/>
    </xf>
    <xf numFmtId="0" fontId="36" fillId="30" borderId="0" xfId="224" applyFont="1" applyFill="1" applyAlignment="1" applyProtection="1">
      <alignment horizontal="center" vertical="center"/>
    </xf>
    <xf numFmtId="0" fontId="36" fillId="30" borderId="181" xfId="224" applyFont="1" applyFill="1" applyBorder="1" applyAlignment="1" applyProtection="1">
      <alignment horizontal="center" vertical="center"/>
    </xf>
    <xf numFmtId="0" fontId="3" fillId="30" borderId="140" xfId="224" applyFont="1" applyFill="1" applyBorder="1" applyAlignment="1" applyProtection="1">
      <alignment horizontal="center" vertical="center"/>
    </xf>
    <xf numFmtId="0" fontId="3" fillId="30" borderId="141" xfId="224" applyFont="1" applyFill="1" applyBorder="1" applyAlignment="1" applyProtection="1">
      <alignment horizontal="center" vertical="center"/>
    </xf>
    <xf numFmtId="0" fontId="3" fillId="30" borderId="21" xfId="224" applyFont="1" applyFill="1" applyBorder="1" applyAlignment="1" applyProtection="1">
      <alignment horizontal="center" vertical="center"/>
    </xf>
    <xf numFmtId="0" fontId="3" fillId="30" borderId="22" xfId="224" applyFont="1" applyFill="1" applyBorder="1" applyAlignment="1" applyProtection="1">
      <alignment horizontal="center" vertical="center"/>
    </xf>
    <xf numFmtId="0" fontId="3" fillId="30" borderId="16" xfId="224" applyFont="1" applyFill="1" applyBorder="1" applyAlignment="1" applyProtection="1">
      <alignment horizontal="center" vertical="center"/>
    </xf>
    <xf numFmtId="0" fontId="3" fillId="30" borderId="0" xfId="224" applyFont="1" applyFill="1" applyAlignment="1" applyProtection="1">
      <alignment horizontal="center" vertical="center"/>
    </xf>
    <xf numFmtId="0" fontId="3" fillId="30" borderId="143" xfId="224" applyFont="1" applyFill="1" applyBorder="1" applyAlignment="1" applyProtection="1">
      <alignment horizontal="center" vertical="center"/>
    </xf>
    <xf numFmtId="0" fontId="3" fillId="30" borderId="181" xfId="224" applyFont="1" applyFill="1" applyBorder="1" applyAlignment="1" applyProtection="1">
      <alignment horizontal="center" vertical="center"/>
    </xf>
    <xf numFmtId="4" fontId="2" fillId="30" borderId="15" xfId="263" applyNumberFormat="1" applyFill="1" applyBorder="1" applyAlignment="1" applyProtection="1">
      <alignment horizontal="center"/>
    </xf>
    <xf numFmtId="4" fontId="2" fillId="30" borderId="14" xfId="263" applyNumberFormat="1" applyFill="1" applyBorder="1" applyAlignment="1" applyProtection="1">
      <alignment horizontal="center"/>
    </xf>
    <xf numFmtId="4" fontId="2" fillId="30" borderId="31" xfId="263" applyNumberFormat="1" applyFill="1" applyBorder="1" applyAlignment="1" applyProtection="1">
      <alignment horizontal="center"/>
    </xf>
    <xf numFmtId="4" fontId="2" fillId="32" borderId="15" xfId="263" applyNumberFormat="1" applyFill="1" applyBorder="1" applyAlignment="1" applyProtection="1">
      <alignment horizontal="center"/>
    </xf>
    <xf numFmtId="4" fontId="2" fillId="32" borderId="14" xfId="263" applyNumberFormat="1" applyFill="1" applyBorder="1" applyAlignment="1" applyProtection="1">
      <alignment horizontal="center"/>
    </xf>
    <xf numFmtId="4" fontId="2" fillId="32" borderId="31" xfId="263" applyNumberFormat="1" applyFill="1" applyBorder="1" applyAlignment="1" applyProtection="1">
      <alignment horizontal="center"/>
    </xf>
    <xf numFmtId="0" fontId="36" fillId="30" borderId="21" xfId="224" applyFont="1" applyFill="1" applyBorder="1" applyAlignment="1" applyProtection="1">
      <alignment horizontal="center" vertical="center"/>
    </xf>
    <xf numFmtId="0" fontId="36" fillId="30" borderId="22" xfId="224" applyFont="1" applyFill="1" applyBorder="1" applyAlignment="1" applyProtection="1">
      <alignment horizontal="center" vertical="center"/>
    </xf>
    <xf numFmtId="0" fontId="36" fillId="30" borderId="23" xfId="224" applyFont="1" applyFill="1" applyBorder="1" applyAlignment="1" applyProtection="1">
      <alignment horizontal="center" vertical="center"/>
    </xf>
    <xf numFmtId="0" fontId="3" fillId="30" borderId="200" xfId="224" applyFont="1" applyFill="1" applyBorder="1" applyAlignment="1" applyProtection="1">
      <alignment horizontal="center" vertical="center"/>
    </xf>
    <xf numFmtId="0" fontId="3" fillId="30" borderId="189" xfId="224" applyFont="1" applyFill="1" applyBorder="1" applyAlignment="1" applyProtection="1">
      <alignment horizontal="center" vertical="center"/>
    </xf>
  </cellXfs>
  <cellStyles count="269">
    <cellStyle name="_x000d__x000a_JournalTemplate=C:\COMFO\CTALK\JOURSTD.TPL_x000d__x000a_LbStateAddress=3 3 0 251 1 89 2 311_x000d__x000a_LbStateJou" xfId="1" xr:uid="{00000000-0005-0000-0000-000000000000}"/>
    <cellStyle name="Bad" xfId="2" xr:uid="{00000000-0005-0000-0000-000001000000}"/>
    <cellStyle name="Calculation" xfId="3" xr:uid="{00000000-0005-0000-0000-000002000000}"/>
    <cellStyle name="Check Cell" xfId="4" xr:uid="{00000000-0005-0000-0000-000003000000}"/>
    <cellStyle name="Comma" xfId="5" xr:uid="{00000000-0005-0000-0000-000004000000}"/>
    <cellStyle name="Comma 2" xfId="6" xr:uid="{00000000-0005-0000-0000-000005000000}"/>
    <cellStyle name="Comma0" xfId="7" xr:uid="{00000000-0005-0000-0000-000006000000}"/>
    <cellStyle name="Currency" xfId="8" xr:uid="{00000000-0005-0000-0000-000007000000}"/>
    <cellStyle name="Currency0" xfId="9" xr:uid="{00000000-0005-0000-0000-000008000000}"/>
    <cellStyle name="Date" xfId="10" xr:uid="{00000000-0005-0000-0000-000009000000}"/>
    <cellStyle name="E&amp;Y House" xfId="11" xr:uid="{00000000-0005-0000-0000-00000A000000}"/>
    <cellStyle name="Euro" xfId="12" xr:uid="{00000000-0005-0000-0000-00000B000000}"/>
    <cellStyle name="Explanatory Text" xfId="13" xr:uid="{00000000-0005-0000-0000-00000C000000}"/>
    <cellStyle name="Fixed" xfId="14" xr:uid="{00000000-0005-0000-0000-00000D000000}"/>
    <cellStyle name="Good" xfId="15" xr:uid="{00000000-0005-0000-0000-00000E000000}"/>
    <cellStyle name="Heading 1" xfId="16" xr:uid="{00000000-0005-0000-0000-00000F000000}"/>
    <cellStyle name="Heading 2" xfId="17" xr:uid="{00000000-0005-0000-0000-000010000000}"/>
    <cellStyle name="Heading 3" xfId="18" xr:uid="{00000000-0005-0000-0000-000011000000}"/>
    <cellStyle name="Heading 4" xfId="19" xr:uid="{00000000-0005-0000-0000-000012000000}"/>
    <cellStyle name="Heading1" xfId="20" xr:uid="{00000000-0005-0000-0000-000013000000}"/>
    <cellStyle name="Heading2" xfId="21" xr:uid="{00000000-0005-0000-0000-000014000000}"/>
    <cellStyle name="Hyperlink" xfId="22" builtinId="8"/>
    <cellStyle name="Input" xfId="23" xr:uid="{00000000-0005-0000-0000-000016000000}"/>
    <cellStyle name="Komma 10" xfId="24" xr:uid="{00000000-0005-0000-0000-000018000000}"/>
    <cellStyle name="Komma 11" xfId="25" xr:uid="{00000000-0005-0000-0000-000019000000}"/>
    <cellStyle name="Komma 12" xfId="26" xr:uid="{00000000-0005-0000-0000-00001A000000}"/>
    <cellStyle name="Komma 13" xfId="27" xr:uid="{00000000-0005-0000-0000-00001B000000}"/>
    <cellStyle name="Komma 2" xfId="28" xr:uid="{00000000-0005-0000-0000-00001C000000}"/>
    <cellStyle name="Komma 2 2" xfId="29" xr:uid="{00000000-0005-0000-0000-00001D000000}"/>
    <cellStyle name="Komma 2 2 2" xfId="30" xr:uid="{00000000-0005-0000-0000-00001E000000}"/>
    <cellStyle name="Komma 2 3" xfId="31" xr:uid="{00000000-0005-0000-0000-00001F000000}"/>
    <cellStyle name="Komma 2 4" xfId="32" xr:uid="{00000000-0005-0000-0000-000020000000}"/>
    <cellStyle name="Komma 2 5" xfId="33" xr:uid="{00000000-0005-0000-0000-000021000000}"/>
    <cellStyle name="Komma 2 6" xfId="34" xr:uid="{00000000-0005-0000-0000-000022000000}"/>
    <cellStyle name="Komma 2 7" xfId="35" xr:uid="{00000000-0005-0000-0000-000023000000}"/>
    <cellStyle name="Komma 2_Tabel 7" xfId="36" xr:uid="{00000000-0005-0000-0000-000024000000}"/>
    <cellStyle name="Komma 3" xfId="37" xr:uid="{00000000-0005-0000-0000-000025000000}"/>
    <cellStyle name="Komma 3 2" xfId="38" xr:uid="{00000000-0005-0000-0000-000026000000}"/>
    <cellStyle name="Komma 3 3" xfId="39" xr:uid="{00000000-0005-0000-0000-000027000000}"/>
    <cellStyle name="Komma 4" xfId="40" xr:uid="{00000000-0005-0000-0000-000028000000}"/>
    <cellStyle name="Komma 4 2" xfId="41" xr:uid="{00000000-0005-0000-0000-000029000000}"/>
    <cellStyle name="Komma 4 3" xfId="42" xr:uid="{00000000-0005-0000-0000-00002A000000}"/>
    <cellStyle name="Komma 4 4" xfId="43" xr:uid="{00000000-0005-0000-0000-00002B000000}"/>
    <cellStyle name="Komma 5" xfId="44" xr:uid="{00000000-0005-0000-0000-00002C000000}"/>
    <cellStyle name="Komma 5 2" xfId="45" xr:uid="{00000000-0005-0000-0000-00002D000000}"/>
    <cellStyle name="Komma 6" xfId="46" xr:uid="{00000000-0005-0000-0000-00002E000000}"/>
    <cellStyle name="Komma 6 2" xfId="47" xr:uid="{00000000-0005-0000-0000-00002F000000}"/>
    <cellStyle name="Komma 7" xfId="48" xr:uid="{00000000-0005-0000-0000-000030000000}"/>
    <cellStyle name="Komma 7 2" xfId="49" xr:uid="{00000000-0005-0000-0000-000031000000}"/>
    <cellStyle name="Komma 8" xfId="50" xr:uid="{00000000-0005-0000-0000-000032000000}"/>
    <cellStyle name="Komma 9" xfId="51" xr:uid="{00000000-0005-0000-0000-000033000000}"/>
    <cellStyle name="Linked Cell" xfId="52" xr:uid="{00000000-0005-0000-0000-000034000000}"/>
    <cellStyle name="Milliers 2" xfId="53" xr:uid="{00000000-0005-0000-0000-000035000000}"/>
    <cellStyle name="Milliers 5" xfId="54" xr:uid="{00000000-0005-0000-0000-000036000000}"/>
    <cellStyle name="Milliers 8" xfId="55" xr:uid="{00000000-0005-0000-0000-000037000000}"/>
    <cellStyle name="Neutral" xfId="56" xr:uid="{00000000-0005-0000-0000-000038000000}"/>
    <cellStyle name="Normal 10" xfId="57" xr:uid="{00000000-0005-0000-0000-000039000000}"/>
    <cellStyle name="Normal 13" xfId="58" xr:uid="{00000000-0005-0000-0000-00003A000000}"/>
    <cellStyle name="Normal 14" xfId="59" xr:uid="{00000000-0005-0000-0000-00003B000000}"/>
    <cellStyle name="Normal 15" xfId="60" xr:uid="{00000000-0005-0000-0000-00003C000000}"/>
    <cellStyle name="Normal 16" xfId="61" xr:uid="{00000000-0005-0000-0000-00003D000000}"/>
    <cellStyle name="Normal 17" xfId="62" xr:uid="{00000000-0005-0000-0000-00003E000000}"/>
    <cellStyle name="Normal 18" xfId="63" xr:uid="{00000000-0005-0000-0000-00003F000000}"/>
    <cellStyle name="Normal 19" xfId="64" xr:uid="{00000000-0005-0000-0000-000040000000}"/>
    <cellStyle name="Normal 2" xfId="65" xr:uid="{00000000-0005-0000-0000-000041000000}"/>
    <cellStyle name="Normal 2 11" xfId="66" xr:uid="{00000000-0005-0000-0000-000042000000}"/>
    <cellStyle name="Normal 2 12" xfId="67" xr:uid="{00000000-0005-0000-0000-000043000000}"/>
    <cellStyle name="Normal 2 13" xfId="68" xr:uid="{00000000-0005-0000-0000-000044000000}"/>
    <cellStyle name="Normal 2 2" xfId="69" xr:uid="{00000000-0005-0000-0000-000045000000}"/>
    <cellStyle name="Normal 2 2 2" xfId="70" xr:uid="{00000000-0005-0000-0000-000046000000}"/>
    <cellStyle name="Normal 20" xfId="71" xr:uid="{00000000-0005-0000-0000-000047000000}"/>
    <cellStyle name="Normal 21" xfId="72" xr:uid="{00000000-0005-0000-0000-000048000000}"/>
    <cellStyle name="Normal 22" xfId="73" xr:uid="{00000000-0005-0000-0000-000049000000}"/>
    <cellStyle name="Normal 23" xfId="74" xr:uid="{00000000-0005-0000-0000-00004A000000}"/>
    <cellStyle name="Normal 24" xfId="75" xr:uid="{00000000-0005-0000-0000-00004B000000}"/>
    <cellStyle name="Normal 25" xfId="76" xr:uid="{00000000-0005-0000-0000-00004C000000}"/>
    <cellStyle name="Normal 26" xfId="77" xr:uid="{00000000-0005-0000-0000-00004D000000}"/>
    <cellStyle name="Normal 27" xfId="78" xr:uid="{00000000-0005-0000-0000-00004E000000}"/>
    <cellStyle name="Normal 28" xfId="79" xr:uid="{00000000-0005-0000-0000-00004F000000}"/>
    <cellStyle name="Normal 29" xfId="80" xr:uid="{00000000-0005-0000-0000-000050000000}"/>
    <cellStyle name="Normal 3" xfId="81" xr:uid="{00000000-0005-0000-0000-000051000000}"/>
    <cellStyle name="Normal 3 2" xfId="82" xr:uid="{00000000-0005-0000-0000-000052000000}"/>
    <cellStyle name="Normal 3 3" xfId="83" xr:uid="{00000000-0005-0000-0000-000053000000}"/>
    <cellStyle name="Normal 30" xfId="84" xr:uid="{00000000-0005-0000-0000-000054000000}"/>
    <cellStyle name="Normal 31" xfId="85" xr:uid="{00000000-0005-0000-0000-000055000000}"/>
    <cellStyle name="Normal 32" xfId="86" xr:uid="{00000000-0005-0000-0000-000056000000}"/>
    <cellStyle name="Normal 33" xfId="87" xr:uid="{00000000-0005-0000-0000-000057000000}"/>
    <cellStyle name="Normal 34" xfId="88" xr:uid="{00000000-0005-0000-0000-000058000000}"/>
    <cellStyle name="Normal 35" xfId="89" xr:uid="{00000000-0005-0000-0000-000059000000}"/>
    <cellStyle name="Normal 36" xfId="90" xr:uid="{00000000-0005-0000-0000-00005A000000}"/>
    <cellStyle name="Normal 37" xfId="91" xr:uid="{00000000-0005-0000-0000-00005B000000}"/>
    <cellStyle name="Normal 38" xfId="92" xr:uid="{00000000-0005-0000-0000-00005C000000}"/>
    <cellStyle name="Normal 39" xfId="93" xr:uid="{00000000-0005-0000-0000-00005D000000}"/>
    <cellStyle name="Normal 4" xfId="94" xr:uid="{00000000-0005-0000-0000-00005E000000}"/>
    <cellStyle name="Normal 40" xfId="95" xr:uid="{00000000-0005-0000-0000-00005F000000}"/>
    <cellStyle name="Normal 41" xfId="96" xr:uid="{00000000-0005-0000-0000-000060000000}"/>
    <cellStyle name="Normal 42" xfId="97" xr:uid="{00000000-0005-0000-0000-000061000000}"/>
    <cellStyle name="Normal 43" xfId="98" xr:uid="{00000000-0005-0000-0000-000062000000}"/>
    <cellStyle name="Normal 44" xfId="99" xr:uid="{00000000-0005-0000-0000-000063000000}"/>
    <cellStyle name="Normal 45" xfId="100" xr:uid="{00000000-0005-0000-0000-000064000000}"/>
    <cellStyle name="Normal 46" xfId="101" xr:uid="{00000000-0005-0000-0000-000065000000}"/>
    <cellStyle name="Normal 47" xfId="102" xr:uid="{00000000-0005-0000-0000-000066000000}"/>
    <cellStyle name="Normal 48" xfId="103" xr:uid="{00000000-0005-0000-0000-000067000000}"/>
    <cellStyle name="Normal 49" xfId="104" xr:uid="{00000000-0005-0000-0000-000068000000}"/>
    <cellStyle name="Normal 50" xfId="105" xr:uid="{00000000-0005-0000-0000-000069000000}"/>
    <cellStyle name="Normal 51" xfId="106" xr:uid="{00000000-0005-0000-0000-00006A000000}"/>
    <cellStyle name="Normal 52" xfId="107" xr:uid="{00000000-0005-0000-0000-00006B000000}"/>
    <cellStyle name="Normal 53" xfId="108" xr:uid="{00000000-0005-0000-0000-00006C000000}"/>
    <cellStyle name="Normal 54" xfId="109" xr:uid="{00000000-0005-0000-0000-00006D000000}"/>
    <cellStyle name="Normal 56" xfId="110" xr:uid="{00000000-0005-0000-0000-00006E000000}"/>
    <cellStyle name="Normal 57" xfId="111" xr:uid="{00000000-0005-0000-0000-00006F000000}"/>
    <cellStyle name="Normal 58" xfId="112" xr:uid="{00000000-0005-0000-0000-000070000000}"/>
    <cellStyle name="Normal 59" xfId="113" xr:uid="{00000000-0005-0000-0000-000071000000}"/>
    <cellStyle name="Normal 60" xfId="114" xr:uid="{00000000-0005-0000-0000-000072000000}"/>
    <cellStyle name="Normal 61" xfId="115" xr:uid="{00000000-0005-0000-0000-000073000000}"/>
    <cellStyle name="Normal 62" xfId="116" xr:uid="{00000000-0005-0000-0000-000074000000}"/>
    <cellStyle name="Normal 63" xfId="117" xr:uid="{00000000-0005-0000-0000-000075000000}"/>
    <cellStyle name="Normal 64" xfId="118" xr:uid="{00000000-0005-0000-0000-000076000000}"/>
    <cellStyle name="Normal 65" xfId="119" xr:uid="{00000000-0005-0000-0000-000077000000}"/>
    <cellStyle name="Normal 66" xfId="120" xr:uid="{00000000-0005-0000-0000-000078000000}"/>
    <cellStyle name="Normal 67" xfId="121" xr:uid="{00000000-0005-0000-0000-000079000000}"/>
    <cellStyle name="Normal 68" xfId="122" xr:uid="{00000000-0005-0000-0000-00007A000000}"/>
    <cellStyle name="Normal 69" xfId="123" xr:uid="{00000000-0005-0000-0000-00007B000000}"/>
    <cellStyle name="Normal 70" xfId="124" xr:uid="{00000000-0005-0000-0000-00007C000000}"/>
    <cellStyle name="Normal 71" xfId="125" xr:uid="{00000000-0005-0000-0000-00007D000000}"/>
    <cellStyle name="Normal 72" xfId="126" xr:uid="{00000000-0005-0000-0000-00007E000000}"/>
    <cellStyle name="Normal 73" xfId="127" xr:uid="{00000000-0005-0000-0000-00007F000000}"/>
    <cellStyle name="Normal 74" xfId="128" xr:uid="{00000000-0005-0000-0000-000080000000}"/>
    <cellStyle name="Normal 75" xfId="129" xr:uid="{00000000-0005-0000-0000-000081000000}"/>
    <cellStyle name="Normal 76" xfId="130" xr:uid="{00000000-0005-0000-0000-000082000000}"/>
    <cellStyle name="Normal 77" xfId="131" xr:uid="{00000000-0005-0000-0000-000083000000}"/>
    <cellStyle name="Normal 78" xfId="132" xr:uid="{00000000-0005-0000-0000-000084000000}"/>
    <cellStyle name="Normal 79" xfId="133" xr:uid="{00000000-0005-0000-0000-000085000000}"/>
    <cellStyle name="Normal 80" xfId="134" xr:uid="{00000000-0005-0000-0000-000086000000}"/>
    <cellStyle name="Normal 81" xfId="135" xr:uid="{00000000-0005-0000-0000-000087000000}"/>
    <cellStyle name="Normal 82" xfId="136" xr:uid="{00000000-0005-0000-0000-000088000000}"/>
    <cellStyle name="Normal 83" xfId="137" xr:uid="{00000000-0005-0000-0000-000089000000}"/>
    <cellStyle name="Normal 84" xfId="138" xr:uid="{00000000-0005-0000-0000-00008A000000}"/>
    <cellStyle name="Normal 85" xfId="139" xr:uid="{00000000-0005-0000-0000-00008B000000}"/>
    <cellStyle name="Normal 86" xfId="140" xr:uid="{00000000-0005-0000-0000-00008C000000}"/>
    <cellStyle name="Normal 87" xfId="141" xr:uid="{00000000-0005-0000-0000-00008D000000}"/>
    <cellStyle name="Normal 88" xfId="142" xr:uid="{00000000-0005-0000-0000-00008E000000}"/>
    <cellStyle name="Normal 89" xfId="143" xr:uid="{00000000-0005-0000-0000-00008F000000}"/>
    <cellStyle name="Normal 9" xfId="144" xr:uid="{00000000-0005-0000-0000-000090000000}"/>
    <cellStyle name="Normal 90" xfId="145" xr:uid="{00000000-0005-0000-0000-000091000000}"/>
    <cellStyle name="Normal 91" xfId="146" xr:uid="{00000000-0005-0000-0000-000092000000}"/>
    <cellStyle name="Normal 92" xfId="147" xr:uid="{00000000-0005-0000-0000-000093000000}"/>
    <cellStyle name="Normal 93" xfId="148" xr:uid="{00000000-0005-0000-0000-000094000000}"/>
    <cellStyle name="Normal 94" xfId="149" xr:uid="{00000000-0005-0000-0000-000095000000}"/>
    <cellStyle name="Normal 95 2" xfId="150" xr:uid="{00000000-0005-0000-0000-000096000000}"/>
    <cellStyle name="Normal_237 FOUT_FA" xfId="151" xr:uid="{00000000-0005-0000-0000-000097000000}"/>
    <cellStyle name="Normal_Tableaux CREG Sibelga Gaz 2004" xfId="267" xr:uid="{49C3A004-21F1-40D6-BC81-962DF90988CF}"/>
    <cellStyle name="Note" xfId="152" xr:uid="{00000000-0005-0000-0000-000099000000}"/>
    <cellStyle name="Ongedefinieerd" xfId="153" xr:uid="{00000000-0005-0000-0000-00009A000000}"/>
    <cellStyle name="Output" xfId="154" xr:uid="{00000000-0005-0000-0000-00009B000000}"/>
    <cellStyle name="Percent" xfId="155" xr:uid="{00000000-0005-0000-0000-00009C000000}"/>
    <cellStyle name="Percent 2" xfId="156" xr:uid="{00000000-0005-0000-0000-00009D000000}"/>
    <cellStyle name="Pourcentage 2" xfId="157" xr:uid="{00000000-0005-0000-0000-00009E000000}"/>
    <cellStyle name="Procent" xfId="158" builtinId="5"/>
    <cellStyle name="Procent 2" xfId="159" xr:uid="{00000000-0005-0000-0000-0000A0000000}"/>
    <cellStyle name="Procent 2 2" xfId="160" xr:uid="{00000000-0005-0000-0000-0000A1000000}"/>
    <cellStyle name="Procent 3" xfId="161" xr:uid="{00000000-0005-0000-0000-0000A2000000}"/>
    <cellStyle name="Procent 3 2" xfId="162" xr:uid="{00000000-0005-0000-0000-0000A3000000}"/>
    <cellStyle name="Procent 3 3" xfId="163" xr:uid="{00000000-0005-0000-0000-0000A4000000}"/>
    <cellStyle name="Procent 3 4" xfId="164" xr:uid="{00000000-0005-0000-0000-0000A5000000}"/>
    <cellStyle name="Procent 3 5" xfId="165" xr:uid="{00000000-0005-0000-0000-0000A6000000}"/>
    <cellStyle name="Procent 3 6" xfId="166" xr:uid="{00000000-0005-0000-0000-0000A7000000}"/>
    <cellStyle name="Procent 4" xfId="167" xr:uid="{00000000-0005-0000-0000-0000A8000000}"/>
    <cellStyle name="Procent 4 2" xfId="168" xr:uid="{00000000-0005-0000-0000-0000A9000000}"/>
    <cellStyle name="Procent 4 3" xfId="169" xr:uid="{00000000-0005-0000-0000-0000AA000000}"/>
    <cellStyle name="Procent 4 4" xfId="170" xr:uid="{00000000-0005-0000-0000-0000AB000000}"/>
    <cellStyle name="Procent 4 5" xfId="171" xr:uid="{00000000-0005-0000-0000-0000AC000000}"/>
    <cellStyle name="Procent 5" xfId="172" xr:uid="{00000000-0005-0000-0000-0000AD000000}"/>
    <cellStyle name="Procent 6" xfId="173" xr:uid="{00000000-0005-0000-0000-0000AE000000}"/>
    <cellStyle name="Procent 7" xfId="174" xr:uid="{00000000-0005-0000-0000-0000AF000000}"/>
    <cellStyle name="SAPBEXaggData" xfId="175" xr:uid="{00000000-0005-0000-0000-0000B0000000}"/>
    <cellStyle name="SAPBEXaggDataEmph" xfId="176" xr:uid="{00000000-0005-0000-0000-0000B1000000}"/>
    <cellStyle name="SAPBEXaggItem" xfId="177" xr:uid="{00000000-0005-0000-0000-0000B2000000}"/>
    <cellStyle name="SAPBEXaggItemX" xfId="178" xr:uid="{00000000-0005-0000-0000-0000B3000000}"/>
    <cellStyle name="SAPBEXchaText" xfId="179" xr:uid="{00000000-0005-0000-0000-0000B4000000}"/>
    <cellStyle name="SAPBEXchaText 2" xfId="180" xr:uid="{00000000-0005-0000-0000-0000B5000000}"/>
    <cellStyle name="SAPBEXexcBad7" xfId="181" xr:uid="{00000000-0005-0000-0000-0000B6000000}"/>
    <cellStyle name="SAPBEXexcBad8" xfId="182" xr:uid="{00000000-0005-0000-0000-0000B7000000}"/>
    <cellStyle name="SAPBEXexcBad9" xfId="183" xr:uid="{00000000-0005-0000-0000-0000B8000000}"/>
    <cellStyle name="SAPBEXexcCritical4" xfId="184" xr:uid="{00000000-0005-0000-0000-0000B9000000}"/>
    <cellStyle name="SAPBEXexcCritical5" xfId="185" xr:uid="{00000000-0005-0000-0000-0000BA000000}"/>
    <cellStyle name="SAPBEXexcCritical6" xfId="186" xr:uid="{00000000-0005-0000-0000-0000BB000000}"/>
    <cellStyle name="SAPBEXexcGood1" xfId="187" xr:uid="{00000000-0005-0000-0000-0000BC000000}"/>
    <cellStyle name="SAPBEXexcGood2" xfId="188" xr:uid="{00000000-0005-0000-0000-0000BD000000}"/>
    <cellStyle name="SAPBEXexcGood3" xfId="189" xr:uid="{00000000-0005-0000-0000-0000BE000000}"/>
    <cellStyle name="SAPBEXfilterDrill" xfId="190" xr:uid="{00000000-0005-0000-0000-0000BF000000}"/>
    <cellStyle name="SAPBEXfilterItem" xfId="191" xr:uid="{00000000-0005-0000-0000-0000C0000000}"/>
    <cellStyle name="SAPBEXfilterText" xfId="192" xr:uid="{00000000-0005-0000-0000-0000C1000000}"/>
    <cellStyle name="SAPBEXformats" xfId="193" xr:uid="{00000000-0005-0000-0000-0000C2000000}"/>
    <cellStyle name="SAPBEXheaderItem" xfId="194" xr:uid="{00000000-0005-0000-0000-0000C3000000}"/>
    <cellStyle name="SAPBEXheaderText" xfId="195" xr:uid="{00000000-0005-0000-0000-0000C4000000}"/>
    <cellStyle name="SAPBEXHLevel0" xfId="196" xr:uid="{00000000-0005-0000-0000-0000C5000000}"/>
    <cellStyle name="SAPBEXHLevel0X" xfId="197" xr:uid="{00000000-0005-0000-0000-0000C6000000}"/>
    <cellStyle name="SAPBEXHLevel1" xfId="198" xr:uid="{00000000-0005-0000-0000-0000C7000000}"/>
    <cellStyle name="SAPBEXHLevel1X" xfId="199" xr:uid="{00000000-0005-0000-0000-0000C8000000}"/>
    <cellStyle name="SAPBEXHLevel2" xfId="200" xr:uid="{00000000-0005-0000-0000-0000C9000000}"/>
    <cellStyle name="SAPBEXHLevel2X" xfId="201" xr:uid="{00000000-0005-0000-0000-0000CA000000}"/>
    <cellStyle name="SAPBEXHLevel3" xfId="202" xr:uid="{00000000-0005-0000-0000-0000CB000000}"/>
    <cellStyle name="SAPBEXHLevel3X" xfId="203" xr:uid="{00000000-0005-0000-0000-0000CC000000}"/>
    <cellStyle name="SAPBEXinputData" xfId="204" xr:uid="{00000000-0005-0000-0000-0000CD000000}"/>
    <cellStyle name="SAPBEXresData" xfId="205" xr:uid="{00000000-0005-0000-0000-0000CE000000}"/>
    <cellStyle name="SAPBEXresDataEmph" xfId="206" xr:uid="{00000000-0005-0000-0000-0000CF000000}"/>
    <cellStyle name="SAPBEXresItem" xfId="207" xr:uid="{00000000-0005-0000-0000-0000D0000000}"/>
    <cellStyle name="SAPBEXresItemX" xfId="208" xr:uid="{00000000-0005-0000-0000-0000D1000000}"/>
    <cellStyle name="SAPBEXstdData" xfId="209" xr:uid="{00000000-0005-0000-0000-0000D2000000}"/>
    <cellStyle name="SAPBEXstdDataEmph" xfId="210" xr:uid="{00000000-0005-0000-0000-0000D3000000}"/>
    <cellStyle name="SAPBEXstdItem" xfId="211" xr:uid="{00000000-0005-0000-0000-0000D4000000}"/>
    <cellStyle name="SAPBEXstdItem 2" xfId="212" xr:uid="{00000000-0005-0000-0000-0000D5000000}"/>
    <cellStyle name="SAPBEXstdItemX" xfId="213" xr:uid="{00000000-0005-0000-0000-0000D6000000}"/>
    <cellStyle name="SAPBEXtitle" xfId="214" xr:uid="{00000000-0005-0000-0000-0000D7000000}"/>
    <cellStyle name="SAPBEXundefined" xfId="215" xr:uid="{00000000-0005-0000-0000-0000D8000000}"/>
    <cellStyle name="Sheet Title" xfId="216" xr:uid="{00000000-0005-0000-0000-0000D9000000}"/>
    <cellStyle name="Standaard" xfId="0" builtinId="0"/>
    <cellStyle name="Standaard 10" xfId="217" xr:uid="{00000000-0005-0000-0000-0000DB000000}"/>
    <cellStyle name="Standaard 11" xfId="218" xr:uid="{00000000-0005-0000-0000-0000DC000000}"/>
    <cellStyle name="Standaard 12" xfId="219" xr:uid="{00000000-0005-0000-0000-0000DD000000}"/>
    <cellStyle name="Standaard 13" xfId="266" xr:uid="{E8E1AA65-57CD-4CC4-85E0-419364944BD1}"/>
    <cellStyle name="Standaard 2" xfId="220" xr:uid="{00000000-0005-0000-0000-0000DE000000}"/>
    <cellStyle name="Standaard 2 2" xfId="221" xr:uid="{00000000-0005-0000-0000-0000DF000000}"/>
    <cellStyle name="Standaard 2 2 2" xfId="222" xr:uid="{00000000-0005-0000-0000-0000E0000000}"/>
    <cellStyle name="Standaard 2 2 2 2" xfId="223" xr:uid="{00000000-0005-0000-0000-0000E1000000}"/>
    <cellStyle name="Standaard 2 3" xfId="224" xr:uid="{00000000-0005-0000-0000-0000E2000000}"/>
    <cellStyle name="Standaard 2 4" xfId="225" xr:uid="{00000000-0005-0000-0000-0000E3000000}"/>
    <cellStyle name="Standaard 2 5" xfId="226" xr:uid="{00000000-0005-0000-0000-0000E4000000}"/>
    <cellStyle name="Standaard 2 6" xfId="227" xr:uid="{00000000-0005-0000-0000-0000E5000000}"/>
    <cellStyle name="Standaard 2 7" xfId="228" xr:uid="{00000000-0005-0000-0000-0000E6000000}"/>
    <cellStyle name="Standaard 2 8" xfId="229" xr:uid="{00000000-0005-0000-0000-0000E7000000}"/>
    <cellStyle name="Standaard 2_B2009_doorvervoer ELEK_MATRIX_versie DEF" xfId="230" xr:uid="{00000000-0005-0000-0000-0000E8000000}"/>
    <cellStyle name="Standaard 3" xfId="231" xr:uid="{00000000-0005-0000-0000-0000E9000000}"/>
    <cellStyle name="Standaard 3 2" xfId="232" xr:uid="{00000000-0005-0000-0000-0000EA000000}"/>
    <cellStyle name="Standaard 3 2 2" xfId="233" xr:uid="{00000000-0005-0000-0000-0000EB000000}"/>
    <cellStyle name="Standaard 3 2 3" xfId="234" xr:uid="{00000000-0005-0000-0000-0000EC000000}"/>
    <cellStyle name="Standaard 3 2 4" xfId="268" xr:uid="{922F9E81-4F13-481D-8C74-E227F5AC09BD}"/>
    <cellStyle name="Standaard 3 3" xfId="235" xr:uid="{00000000-0005-0000-0000-0000ED000000}"/>
    <cellStyle name="Standaard 4" xfId="236" xr:uid="{00000000-0005-0000-0000-0000EE000000}"/>
    <cellStyle name="Standaard 4 2" xfId="237" xr:uid="{00000000-0005-0000-0000-0000EF000000}"/>
    <cellStyle name="Standaard 4 3" xfId="238" xr:uid="{00000000-0005-0000-0000-0000F0000000}"/>
    <cellStyle name="Standaard 4 4" xfId="239" xr:uid="{00000000-0005-0000-0000-0000F1000000}"/>
    <cellStyle name="Standaard 4 5" xfId="240" xr:uid="{00000000-0005-0000-0000-0000F2000000}"/>
    <cellStyle name="Standaard 4 6" xfId="241" xr:uid="{00000000-0005-0000-0000-0000F3000000}"/>
    <cellStyle name="Standaard 4 7" xfId="242" xr:uid="{00000000-0005-0000-0000-0000F4000000}"/>
    <cellStyle name="Standaard 4_B2009_doorvervoer ELEK_MATRIX_versie DEF" xfId="243" xr:uid="{00000000-0005-0000-0000-0000F5000000}"/>
    <cellStyle name="Standaard 5" xfId="244" xr:uid="{00000000-0005-0000-0000-0000F6000000}"/>
    <cellStyle name="Standaard 6" xfId="245" xr:uid="{00000000-0005-0000-0000-0000F7000000}"/>
    <cellStyle name="Standaard 6 2" xfId="246" xr:uid="{00000000-0005-0000-0000-0000F8000000}"/>
    <cellStyle name="Standaard 6 3" xfId="247" xr:uid="{00000000-0005-0000-0000-0000F9000000}"/>
    <cellStyle name="Standaard 6 4" xfId="248" xr:uid="{00000000-0005-0000-0000-0000FA000000}"/>
    <cellStyle name="Standaard 6 5" xfId="249" xr:uid="{00000000-0005-0000-0000-0000FB000000}"/>
    <cellStyle name="Standaard 6 6" xfId="250" xr:uid="{00000000-0005-0000-0000-0000FC000000}"/>
    <cellStyle name="Standaard 7" xfId="251" xr:uid="{00000000-0005-0000-0000-0000FD000000}"/>
    <cellStyle name="Standaard 7 2" xfId="252" xr:uid="{00000000-0005-0000-0000-0000FE000000}"/>
    <cellStyle name="Standaard 8" xfId="253" xr:uid="{00000000-0005-0000-0000-0000FF000000}"/>
    <cellStyle name="Standaard 8 2" xfId="254" xr:uid="{00000000-0005-0000-0000-000000010000}"/>
    <cellStyle name="Standaard 8 3" xfId="255" xr:uid="{00000000-0005-0000-0000-000001010000}"/>
    <cellStyle name="Standaard 9" xfId="256" xr:uid="{00000000-0005-0000-0000-000002010000}"/>
    <cellStyle name="Standaard_20100727 Rekenmodel NE5R v1.9" xfId="257" xr:uid="{00000000-0005-0000-0000-000003010000}"/>
    <cellStyle name="Standaard_Balans IL-Glob. PLAU" xfId="258" xr:uid="{00000000-0005-0000-0000-000004010000}"/>
    <cellStyle name="Stijl 1" xfId="259" xr:uid="{00000000-0005-0000-0000-000006010000}"/>
    <cellStyle name="Style 1" xfId="260" xr:uid="{00000000-0005-0000-0000-000007010000}"/>
    <cellStyle name="Title" xfId="261" xr:uid="{00000000-0005-0000-0000-000008010000}"/>
    <cellStyle name="Total" xfId="262" xr:uid="{00000000-0005-0000-0000-000009010000}"/>
    <cellStyle name="Valuta 2" xfId="263" xr:uid="{00000000-0005-0000-0000-00000B010000}"/>
    <cellStyle name="Warning Text" xfId="264" xr:uid="{00000000-0005-0000-0000-00000C010000}"/>
    <cellStyle name="wittelijn" xfId="265" xr:uid="{00000000-0005-0000-0000-00000D010000}"/>
  </cellStyles>
  <dxfs count="275">
    <dxf>
      <numFmt numFmtId="4" formatCode="#,##0.00"/>
      <fill>
        <patternFill patternType="solid">
          <fgColor indexed="64"/>
          <bgColor theme="0"/>
        </patternFill>
      </fill>
      <border diagonalUp="0" diagonalDown="0" outline="0">
        <left/>
        <right style="medium">
          <color indexed="64"/>
        </right>
        <top style="medium">
          <color indexed="64"/>
        </top>
        <bottom style="medium">
          <color indexed="64"/>
        </bottom>
      </border>
    </dxf>
    <dxf>
      <numFmt numFmtId="4" formatCode="#,##0.00"/>
      <fill>
        <patternFill>
          <fgColor indexed="64"/>
          <bgColor theme="0"/>
        </patternFill>
      </fill>
      <border diagonalUp="0" diagonalDown="0">
        <left style="double">
          <color indexed="64"/>
        </left>
        <right/>
        <top style="hair">
          <color indexed="64"/>
        </top>
        <bottom style="hair">
          <color indexed="64"/>
        </bottom>
        <vertical style="double">
          <color indexed="64"/>
        </vertical>
        <horizontal style="hair">
          <color indexed="64"/>
        </horizontal>
      </border>
    </dxf>
    <dxf>
      <numFmt numFmtId="4" formatCode="#,##0.00"/>
      <fill>
        <patternFill patternType="solid">
          <fgColor indexed="64"/>
          <bgColor theme="0"/>
        </patternFill>
      </fill>
      <border diagonalUp="0" diagonalDown="0" outline="0">
        <left style="double">
          <color indexed="64"/>
        </left>
        <right style="double">
          <color indexed="64"/>
        </right>
        <top style="medium">
          <color indexed="64"/>
        </top>
        <bottom style="medium">
          <color indexed="64"/>
        </bottom>
      </border>
    </dxf>
    <dxf>
      <numFmt numFmtId="4" formatCode="#,##0.00"/>
      <fill>
        <patternFill>
          <fgColor indexed="64"/>
          <bgColor theme="0"/>
        </patternFill>
      </fill>
      <border diagonalUp="0" diagonalDown="0">
        <left style="double">
          <color indexed="64"/>
        </left>
        <right style="double">
          <color indexed="64"/>
        </right>
        <top style="hair">
          <color indexed="64"/>
        </top>
        <bottom style="hair">
          <color indexed="64"/>
        </bottom>
        <vertical style="double">
          <color indexed="64"/>
        </vertical>
        <horizontal style="hair">
          <color indexed="64"/>
        </horizontal>
      </border>
    </dxf>
    <dxf>
      <numFmt numFmtId="4" formatCode="#,##0.00"/>
      <fill>
        <patternFill patternType="solid">
          <fgColor indexed="64"/>
          <bgColor theme="0"/>
        </patternFill>
      </fill>
      <border diagonalUp="0" diagonalDown="0" outline="0">
        <left style="double">
          <color indexed="64"/>
        </left>
        <right style="double">
          <color indexed="64"/>
        </right>
        <top style="medium">
          <color indexed="64"/>
        </top>
        <bottom style="medium">
          <color indexed="64"/>
        </bottom>
      </border>
    </dxf>
    <dxf>
      <numFmt numFmtId="4" formatCode="#,##0.00"/>
      <fill>
        <patternFill>
          <fgColor indexed="64"/>
          <bgColor theme="0"/>
        </patternFill>
      </fill>
      <border diagonalUp="0" diagonalDown="0">
        <left style="double">
          <color indexed="64"/>
        </left>
        <right style="double">
          <color indexed="64"/>
        </right>
        <top style="hair">
          <color indexed="64"/>
        </top>
        <bottom style="hair">
          <color indexed="64"/>
        </bottom>
        <vertical style="double">
          <color indexed="64"/>
        </vertical>
        <horizontal style="hair">
          <color indexed="64"/>
        </horizontal>
      </border>
    </dxf>
    <dxf>
      <numFmt numFmtId="4" formatCode="#,##0.00"/>
      <fill>
        <patternFill patternType="solid">
          <fgColor indexed="64"/>
          <bgColor theme="0"/>
        </patternFill>
      </fill>
      <border diagonalUp="0" diagonalDown="0" outline="0">
        <left style="double">
          <color indexed="64"/>
        </left>
        <right style="double">
          <color indexed="64"/>
        </right>
        <top style="medium">
          <color indexed="64"/>
        </top>
        <bottom style="medium">
          <color indexed="64"/>
        </bottom>
      </border>
    </dxf>
    <dxf>
      <numFmt numFmtId="4" formatCode="#,##0.00"/>
      <fill>
        <patternFill>
          <fgColor indexed="64"/>
          <bgColor theme="0"/>
        </patternFill>
      </fill>
      <border diagonalUp="0" diagonalDown="0">
        <left style="double">
          <color indexed="64"/>
        </left>
        <right style="double">
          <color indexed="64"/>
        </right>
        <top style="hair">
          <color indexed="64"/>
        </top>
        <bottom style="hair">
          <color indexed="64"/>
        </bottom>
        <vertical style="double">
          <color indexed="64"/>
        </vertical>
        <horizontal style="hair">
          <color indexed="64"/>
        </horizontal>
      </border>
    </dxf>
    <dxf>
      <numFmt numFmtId="4" formatCode="#,##0.00"/>
      <fill>
        <patternFill patternType="solid">
          <fgColor indexed="64"/>
          <bgColor theme="0"/>
        </patternFill>
      </fill>
      <border diagonalUp="0" diagonalDown="0" outline="0">
        <left style="double">
          <color indexed="64"/>
        </left>
        <right style="double">
          <color indexed="64"/>
        </right>
        <top style="medium">
          <color indexed="64"/>
        </top>
        <bottom style="medium">
          <color indexed="64"/>
        </bottom>
      </border>
    </dxf>
    <dxf>
      <numFmt numFmtId="4" formatCode="#,##0.00"/>
      <fill>
        <patternFill>
          <fgColor indexed="64"/>
          <bgColor theme="0"/>
        </patternFill>
      </fill>
      <border diagonalUp="0" diagonalDown="0">
        <left style="double">
          <color indexed="64"/>
        </left>
        <right style="double">
          <color indexed="64"/>
        </right>
        <top style="hair">
          <color indexed="64"/>
        </top>
        <bottom style="hair">
          <color indexed="64"/>
        </bottom>
        <vertical style="double">
          <color indexed="64"/>
        </vertical>
        <horizontal style="hair">
          <color indexed="64"/>
        </horizontal>
      </border>
    </dxf>
    <dxf>
      <numFmt numFmtId="4" formatCode="#,##0.00"/>
      <fill>
        <patternFill patternType="solid">
          <fgColor indexed="64"/>
          <bgColor theme="0"/>
        </patternFill>
      </fill>
      <border diagonalUp="0" diagonalDown="0" outline="0">
        <left/>
        <right style="double">
          <color indexed="64"/>
        </right>
        <top style="medium">
          <color auto="1"/>
        </top>
        <bottom style="medium">
          <color indexed="64"/>
        </bottom>
      </border>
    </dxf>
    <dxf>
      <numFmt numFmtId="4" formatCode="#,##0.00"/>
      <fill>
        <patternFill>
          <fgColor indexed="64"/>
          <bgColor theme="0"/>
        </patternFill>
      </fill>
      <border diagonalUp="0" diagonalDown="0">
        <left style="double">
          <color indexed="64"/>
        </left>
        <right style="double">
          <color indexed="64"/>
        </right>
        <top style="hair">
          <color indexed="64"/>
        </top>
        <bottom style="hair">
          <color indexed="64"/>
        </bottom>
        <vertical style="double">
          <color indexed="64"/>
        </vertical>
        <horizontal style="hair">
          <color indexed="64"/>
        </horizontal>
      </border>
    </dxf>
    <dxf>
      <numFmt numFmtId="4" formatCode="#,##0.00"/>
      <fill>
        <patternFill patternType="solid">
          <fgColor indexed="64"/>
          <bgColor theme="0"/>
        </patternFill>
      </fill>
      <border diagonalUp="0" diagonalDown="0" outline="0">
        <left style="hair">
          <color indexed="64"/>
        </left>
        <right style="double">
          <color indexed="64"/>
        </right>
        <top style="medium">
          <color indexed="64"/>
        </top>
        <bottom style="medium">
          <color indexed="64"/>
        </bottom>
      </border>
    </dxf>
    <dxf>
      <numFmt numFmtId="4" formatCode="#,##0.00"/>
      <fill>
        <patternFill>
          <fgColor indexed="64"/>
          <bgColor theme="0"/>
        </patternFill>
      </fill>
      <border diagonalUp="0" diagonalDown="0">
        <left style="hair">
          <color indexed="64"/>
        </left>
        <right style="double">
          <color indexed="64"/>
        </right>
        <top/>
        <bottom/>
        <vertical/>
        <horizontal/>
      </border>
    </dxf>
    <dxf>
      <numFmt numFmtId="4" formatCode="#,##0.00"/>
      <fill>
        <patternFill patternType="solid">
          <fgColor indexed="64"/>
          <bgColor theme="0"/>
        </patternFill>
      </fill>
      <border diagonalUp="0" diagonalDown="0" outline="0">
        <left/>
        <right style="hair">
          <color indexed="64"/>
        </right>
        <top style="medium">
          <color indexed="64"/>
        </top>
        <bottom style="medium">
          <color indexed="64"/>
        </bottom>
      </border>
    </dxf>
    <dxf>
      <numFmt numFmtId="4" formatCode="#,##0.00"/>
      <fill>
        <patternFill patternType="solid">
          <fgColor indexed="64"/>
          <bgColor theme="0"/>
        </patternFill>
      </fill>
      <border diagonalUp="0" diagonalDown="0">
        <left style="hair">
          <color indexed="64"/>
        </left>
        <right style="hair">
          <color indexed="64"/>
        </right>
        <top style="hair">
          <color indexed="64"/>
        </top>
        <bottom/>
        <vertical/>
        <horizontal/>
      </border>
    </dxf>
    <dxf>
      <numFmt numFmtId="4" formatCode="#,##0.00"/>
      <fill>
        <patternFill patternType="solid">
          <fgColor indexed="64"/>
          <bgColor theme="0"/>
        </patternFill>
      </fill>
      <border diagonalUp="0" diagonalDown="0" outline="0">
        <left/>
        <right style="hair">
          <color indexed="64"/>
        </right>
        <top style="medium">
          <color indexed="64"/>
        </top>
        <bottom style="medium">
          <color indexed="64"/>
        </bottom>
      </border>
    </dxf>
    <dxf>
      <numFmt numFmtId="4" formatCode="#,##0.00"/>
      <fill>
        <patternFill>
          <fgColor indexed="64"/>
          <bgColor theme="0"/>
        </patternFill>
      </fill>
      <border diagonalUp="0" diagonalDown="0">
        <left style="hair">
          <color indexed="64"/>
        </left>
        <right style="hair">
          <color indexed="64"/>
        </right>
        <top style="hair">
          <color indexed="64"/>
        </top>
        <bottom style="hair">
          <color indexed="64"/>
        </bottom>
        <vertical style="hair">
          <color indexed="64"/>
        </vertical>
      </border>
    </dxf>
    <dxf>
      <numFmt numFmtId="4" formatCode="#,##0.00"/>
      <fill>
        <patternFill patternType="solid">
          <fgColor indexed="64"/>
          <bgColor theme="0"/>
        </patternFill>
      </fill>
      <border diagonalUp="0" diagonalDown="0" outline="0">
        <left style="hair">
          <color indexed="64"/>
        </left>
        <right style="hair">
          <color indexed="64"/>
        </right>
        <top style="medium">
          <color indexed="64"/>
        </top>
        <bottom style="medium">
          <color indexed="64"/>
        </bottom>
      </border>
    </dxf>
    <dxf>
      <numFmt numFmtId="4" formatCode="#,##0.00"/>
      <fill>
        <patternFill>
          <fgColor indexed="64"/>
          <bgColor theme="0"/>
        </patternFill>
      </fill>
      <border diagonalUp="0" diagonalDown="0">
        <left style="hair">
          <color indexed="64"/>
        </left>
        <right style="hair">
          <color indexed="64"/>
        </right>
        <top style="hair">
          <color indexed="64"/>
        </top>
        <bottom style="hair">
          <color indexed="64"/>
        </bottom>
        <vertical style="hair">
          <color indexed="64"/>
        </vertical>
      </border>
    </dxf>
    <dxf>
      <numFmt numFmtId="4" formatCode="#,##0.00"/>
      <fill>
        <patternFill patternType="solid">
          <fgColor indexed="64"/>
          <bgColor theme="0"/>
        </patternFill>
      </fill>
      <border diagonalUp="0" diagonalDown="0" outline="0">
        <left style="double">
          <color indexed="64"/>
        </left>
        <right style="hair">
          <color indexed="64"/>
        </right>
        <top style="medium">
          <color auto="1"/>
        </top>
        <bottom style="medium">
          <color indexed="64"/>
        </bottom>
      </border>
    </dxf>
    <dxf>
      <numFmt numFmtId="4" formatCode="#,##0.00"/>
      <fill>
        <patternFill>
          <fgColor indexed="64"/>
          <bgColor theme="0"/>
        </patternFill>
      </fill>
      <border diagonalUp="0" diagonalDown="0">
        <left style="double">
          <color indexed="64"/>
        </left>
        <right style="hair">
          <color indexed="64"/>
        </right>
        <top style="hair">
          <color indexed="64"/>
        </top>
        <bottom style="hair">
          <color indexed="64"/>
        </bottom>
        <vertical style="hair">
          <color indexed="64"/>
        </vertical>
      </border>
    </dxf>
    <dxf>
      <numFmt numFmtId="4" formatCode="#,##0.00"/>
      <fill>
        <patternFill patternType="solid">
          <fgColor indexed="64"/>
          <bgColor theme="0"/>
        </patternFill>
      </fill>
      <border diagonalUp="0" diagonalDown="0" outline="0">
        <left/>
        <right style="hair">
          <color indexed="64"/>
        </right>
        <top style="medium">
          <color indexed="64"/>
        </top>
        <bottom style="medium">
          <color indexed="64"/>
        </bottom>
      </border>
    </dxf>
    <dxf>
      <numFmt numFmtId="4" formatCode="#,##0.00"/>
      <fill>
        <patternFill>
          <fgColor indexed="64"/>
          <bgColor theme="0"/>
        </patternFill>
      </fill>
      <border diagonalUp="0" diagonalDown="0">
        <left style="double">
          <color indexed="64"/>
        </left>
        <right style="double">
          <color indexed="64"/>
        </right>
        <top style="hair">
          <color indexed="64"/>
        </top>
        <bottom style="hair">
          <color indexed="64"/>
        </bottom>
        <vertical/>
      </border>
    </dxf>
    <dxf>
      <numFmt numFmtId="4" formatCode="#,##0.00"/>
      <fill>
        <patternFill patternType="solid">
          <fgColor indexed="64"/>
          <bgColor theme="0"/>
        </patternFill>
      </fill>
      <border diagonalUp="0" diagonalDown="0" outline="0">
        <left style="double">
          <color indexed="64"/>
        </left>
        <right style="hair">
          <color indexed="64"/>
        </right>
        <top style="medium">
          <color auto="1"/>
        </top>
        <bottom style="medium">
          <color indexed="64"/>
        </bottom>
      </border>
    </dxf>
    <dxf>
      <numFmt numFmtId="4" formatCode="#,##0.00"/>
      <fill>
        <patternFill>
          <fgColor indexed="64"/>
          <bgColor theme="0"/>
        </patternFill>
      </fill>
      <border diagonalUp="0" diagonalDown="0">
        <left style="double">
          <color indexed="64"/>
        </left>
        <right style="hair">
          <color indexed="64"/>
        </right>
        <top style="hair">
          <color indexed="64"/>
        </top>
        <bottom style="hair">
          <color indexed="64"/>
        </bottom>
        <vertical style="hair">
          <color indexed="64"/>
        </vertical>
      </border>
    </dxf>
    <dxf>
      <numFmt numFmtId="4" formatCode="#,##0.00"/>
      <fill>
        <patternFill patternType="solid">
          <fgColor indexed="64"/>
          <bgColor theme="0"/>
        </patternFill>
      </fill>
      <border diagonalUp="0" diagonalDown="0" outline="0">
        <left/>
        <right/>
        <top style="medium">
          <color auto="1"/>
        </top>
        <bottom style="medium">
          <color indexed="64"/>
        </bottom>
      </border>
    </dxf>
    <dxf>
      <numFmt numFmtId="4" formatCode="#,##0.00"/>
      <fill>
        <patternFill>
          <fgColor indexed="64"/>
          <bgColor theme="0"/>
        </patternFill>
      </fill>
      <border diagonalUp="0" diagonalDown="0">
        <left style="double">
          <color indexed="64"/>
        </left>
        <right style="double">
          <color indexed="64"/>
        </right>
        <top style="hair">
          <color indexed="64"/>
        </top>
        <bottom style="hair">
          <color indexed="64"/>
        </bottom>
        <vertical/>
      </border>
    </dxf>
    <dxf>
      <numFmt numFmtId="4" formatCode="#,##0.00"/>
      <fill>
        <patternFill patternType="solid">
          <fgColor indexed="64"/>
          <bgColor theme="0"/>
        </patternFill>
      </fill>
      <border diagonalUp="0" diagonalDown="0" outline="0">
        <left style="hair">
          <color indexed="64"/>
        </left>
        <right style="double">
          <color indexed="64"/>
        </right>
        <top style="medium">
          <color indexed="64"/>
        </top>
        <bottom style="medium">
          <color indexed="64"/>
        </bottom>
      </border>
    </dxf>
    <dxf>
      <numFmt numFmtId="4" formatCode="#,##0.00"/>
      <fill>
        <patternFill>
          <fgColor indexed="64"/>
          <bgColor theme="0"/>
        </patternFill>
      </fill>
      <border diagonalUp="0" diagonalDown="0">
        <left style="hair">
          <color indexed="64"/>
        </left>
        <right style="double">
          <color indexed="64"/>
        </right>
        <top style="hair">
          <color indexed="64"/>
        </top>
        <bottom style="hair">
          <color indexed="64"/>
        </bottom>
        <vertical style="hair">
          <color indexed="64"/>
        </vertical>
      </border>
    </dxf>
    <dxf>
      <numFmt numFmtId="4" formatCode="#,##0.00"/>
      <fill>
        <patternFill patternType="solid">
          <fgColor indexed="64"/>
          <bgColor theme="0"/>
        </patternFill>
      </fill>
      <border diagonalUp="0" diagonalDown="0" outline="0">
        <left style="hair">
          <color indexed="64"/>
        </left>
        <right style="hair">
          <color indexed="64"/>
        </right>
        <top style="medium">
          <color indexed="64"/>
        </top>
        <bottom style="medium">
          <color indexed="64"/>
        </bottom>
      </border>
    </dxf>
    <dxf>
      <numFmt numFmtId="4" formatCode="#,##0.00"/>
      <fill>
        <patternFill>
          <fgColor indexed="64"/>
          <bgColor theme="0"/>
        </patternFill>
      </fill>
      <border diagonalUp="0" diagonalDown="0">
        <left style="hair">
          <color indexed="64"/>
        </left>
        <right style="hair">
          <color indexed="64"/>
        </right>
        <top style="hair">
          <color indexed="64"/>
        </top>
        <bottom style="hair">
          <color indexed="64"/>
        </bottom>
        <vertical style="hair">
          <color indexed="64"/>
        </vertical>
      </border>
    </dxf>
    <dxf>
      <numFmt numFmtId="4" formatCode="#,##0.00"/>
      <fill>
        <patternFill patternType="solid">
          <fgColor indexed="64"/>
          <bgColor theme="0"/>
        </patternFill>
      </fill>
      <border diagonalUp="0" diagonalDown="0" outline="0">
        <left style="double">
          <color indexed="64"/>
        </left>
        <right style="hair">
          <color indexed="64"/>
        </right>
        <top style="medium">
          <color auto="1"/>
        </top>
        <bottom style="medium">
          <color indexed="64"/>
        </bottom>
      </border>
    </dxf>
    <dxf>
      <numFmt numFmtId="4" formatCode="#,##0.00"/>
      <fill>
        <patternFill>
          <fgColor indexed="64"/>
          <bgColor theme="0"/>
        </patternFill>
      </fill>
      <border diagonalUp="0" diagonalDown="0">
        <left style="double">
          <color indexed="64"/>
        </left>
        <right style="hair">
          <color indexed="64"/>
        </right>
        <top style="hair">
          <color indexed="64"/>
        </top>
        <bottom style="hair">
          <color indexed="64"/>
        </bottom>
        <vertical style="hair">
          <color indexed="64"/>
        </vertical>
      </border>
    </dxf>
    <dxf>
      <numFmt numFmtId="4" formatCode="#,##0.00"/>
      <fill>
        <patternFill patternType="solid">
          <fgColor indexed="64"/>
          <bgColor theme="0"/>
        </patternFill>
      </fill>
      <border diagonalUp="0" diagonalDown="0" outline="0">
        <left/>
        <right/>
        <top style="medium">
          <color auto="1"/>
        </top>
        <bottom style="medium">
          <color indexed="64"/>
        </bottom>
      </border>
    </dxf>
    <dxf>
      <numFmt numFmtId="4" formatCode="#,##0.00"/>
      <fill>
        <patternFill>
          <fgColor indexed="64"/>
          <bgColor theme="0"/>
        </patternFill>
      </fill>
      <border diagonalUp="0" diagonalDown="0">
        <left style="double">
          <color indexed="64"/>
        </left>
        <right style="double">
          <color indexed="64"/>
        </right>
        <top style="hair">
          <color indexed="64"/>
        </top>
        <bottom style="hair">
          <color indexed="64"/>
        </bottom>
        <vertical/>
      </border>
    </dxf>
    <dxf>
      <numFmt numFmtId="4" formatCode="#,##0.00"/>
      <fill>
        <patternFill patternType="solid">
          <fgColor indexed="64"/>
          <bgColor theme="0"/>
        </patternFill>
      </fill>
      <border diagonalUp="0" diagonalDown="0" outline="0">
        <left style="hair">
          <color indexed="64"/>
        </left>
        <right style="double">
          <color indexed="64"/>
        </right>
        <top style="medium">
          <color indexed="64"/>
        </top>
        <bottom style="medium">
          <color indexed="64"/>
        </bottom>
      </border>
    </dxf>
    <dxf>
      <numFmt numFmtId="4" formatCode="#,##0.00"/>
      <fill>
        <patternFill>
          <fgColor indexed="64"/>
          <bgColor theme="0"/>
        </patternFill>
      </fill>
      <border diagonalUp="0" diagonalDown="0">
        <left style="hair">
          <color indexed="64"/>
        </left>
        <right style="double">
          <color indexed="64"/>
        </right>
        <top style="hair">
          <color indexed="64"/>
        </top>
        <bottom style="hair">
          <color indexed="64"/>
        </bottom>
        <vertical style="hair">
          <color indexed="64"/>
        </vertical>
      </border>
    </dxf>
    <dxf>
      <numFmt numFmtId="4" formatCode="#,##0.00"/>
      <fill>
        <patternFill patternType="solid">
          <fgColor indexed="64"/>
          <bgColor theme="0"/>
        </patternFill>
      </fill>
      <border diagonalUp="0" diagonalDown="0" outline="0">
        <left style="double">
          <color indexed="64"/>
        </left>
        <right style="hair">
          <color indexed="64"/>
        </right>
        <top style="medium">
          <color auto="1"/>
        </top>
        <bottom style="medium">
          <color indexed="64"/>
        </bottom>
      </border>
    </dxf>
    <dxf>
      <numFmt numFmtId="4" formatCode="#,##0.00"/>
      <fill>
        <patternFill>
          <fgColor indexed="64"/>
          <bgColor theme="0"/>
        </patternFill>
      </fill>
      <border diagonalUp="0" diagonalDown="0">
        <left style="double">
          <color indexed="64"/>
        </left>
        <right style="hair">
          <color indexed="64"/>
        </right>
        <top style="hair">
          <color indexed="64"/>
        </top>
        <bottom style="hair">
          <color indexed="64"/>
        </bottom>
        <vertical style="hair">
          <color indexed="64"/>
        </vertical>
      </border>
    </dxf>
    <dxf>
      <numFmt numFmtId="4" formatCode="#,##0.00"/>
      <fill>
        <patternFill patternType="solid">
          <fgColor indexed="64"/>
          <bgColor theme="0"/>
        </patternFill>
      </fill>
      <border diagonalUp="0" diagonalDown="0" outline="0">
        <left style="double">
          <color indexed="64"/>
        </left>
        <right/>
        <top style="medium">
          <color indexed="64"/>
        </top>
        <bottom style="medium">
          <color indexed="64"/>
        </bottom>
      </border>
    </dxf>
    <dxf>
      <numFmt numFmtId="4" formatCode="#,##0.00"/>
      <fill>
        <patternFill>
          <fgColor indexed="64"/>
          <bgColor theme="0"/>
        </patternFill>
      </fill>
      <border diagonalUp="0" diagonalDown="0">
        <left style="double">
          <color indexed="64"/>
        </left>
        <right style="double">
          <color indexed="64"/>
        </right>
        <top style="hair">
          <color indexed="64"/>
        </top>
        <bottom style="hair">
          <color indexed="64"/>
        </bottom>
        <vertical/>
      </border>
    </dxf>
    <dxf>
      <numFmt numFmtId="4" formatCode="#,##0.00"/>
      <fill>
        <patternFill patternType="solid">
          <fgColor indexed="64"/>
          <bgColor theme="0"/>
        </patternFill>
      </fill>
      <border diagonalUp="0" diagonalDown="0" outline="0">
        <left style="double">
          <color indexed="64"/>
        </left>
        <right style="double">
          <color indexed="64"/>
        </right>
        <top style="medium">
          <color indexed="64"/>
        </top>
        <bottom style="medium">
          <color indexed="64"/>
        </bottom>
      </border>
    </dxf>
    <dxf>
      <numFmt numFmtId="4" formatCode="#,##0.00"/>
      <fill>
        <patternFill>
          <fgColor indexed="64"/>
          <bgColor theme="0"/>
        </patternFill>
      </fill>
      <border diagonalUp="0" diagonalDown="0">
        <left style="double">
          <color indexed="64"/>
        </left>
        <right style="double">
          <color indexed="64"/>
        </right>
        <top style="hair">
          <color indexed="64"/>
        </top>
        <bottom style="hair">
          <color indexed="64"/>
        </bottom>
      </border>
    </dxf>
    <dxf>
      <fill>
        <patternFill patternType="solid">
          <fgColor indexed="64"/>
          <bgColor theme="0"/>
        </patternFill>
      </fill>
      <border diagonalUp="0" diagonalDown="0" outline="0">
        <left style="medium">
          <color indexed="64"/>
        </left>
        <right/>
        <top style="medium">
          <color auto="1"/>
        </top>
        <bottom style="medium">
          <color indexed="64"/>
        </bottom>
      </border>
    </dxf>
    <dxf>
      <fill>
        <patternFill>
          <fgColor indexed="64"/>
          <bgColor theme="0"/>
        </patternFill>
      </fill>
      <border diagonalUp="0" diagonalDown="0" outline="0">
        <left/>
        <right/>
        <top style="hair">
          <color indexed="64"/>
        </top>
        <bottom style="hair">
          <color indexed="64"/>
        </bottom>
      </border>
    </dxf>
    <dxf>
      <border>
        <top style="medium">
          <color indexed="64"/>
        </top>
      </border>
    </dxf>
    <dxf>
      <numFmt numFmtId="177" formatCode="[$€-2]\ #,##0.0000000"/>
      <fill>
        <patternFill patternType="solid">
          <fgColor indexed="64"/>
          <bgColor theme="0"/>
        </patternFill>
      </fill>
      <border diagonalUp="0" diagonalDown="0">
        <left style="double">
          <color indexed="64"/>
        </left>
        <right style="double">
          <color indexed="64"/>
        </right>
        <top/>
        <bottom/>
      </border>
    </dxf>
    <dxf>
      <border diagonalUp="0" diagonalDown="0">
        <left style="medium">
          <color indexed="64"/>
        </left>
        <right style="medium">
          <color indexed="64"/>
        </right>
        <top style="medium">
          <color indexed="64"/>
        </top>
        <bottom style="medium">
          <color indexed="64"/>
        </bottom>
      </border>
    </dxf>
    <dxf>
      <fill>
        <patternFill>
          <fgColor indexed="64"/>
          <bgColor theme="0"/>
        </patternFill>
      </fill>
    </dxf>
    <dxf>
      <border>
        <bottom style="medium">
          <color indexed="64"/>
        </bottom>
      </border>
    </dxf>
    <dxf>
      <fill>
        <patternFill>
          <fgColor indexed="64"/>
          <bgColor theme="0"/>
        </patternFill>
      </fill>
      <alignment horizontal="center" vertical="center" textRotation="0" indent="0" justifyLastLine="0" shrinkToFit="0" readingOrder="0"/>
    </dxf>
    <dxf>
      <numFmt numFmtId="177" formatCode="[$€-2]\ #,##0.0000000"/>
      <fill>
        <patternFill patternType="lightUp">
          <fgColor indexed="64"/>
          <bgColor theme="0"/>
        </patternFill>
      </fill>
      <border diagonalUp="0" diagonalDown="0">
        <left/>
        <right/>
        <top style="hair">
          <color indexed="64"/>
        </top>
        <bottom/>
        <vertical/>
        <horizontal/>
      </border>
    </dxf>
    <dxf>
      <numFmt numFmtId="177" formatCode="[$€-2]\ #,##0.0000000"/>
      <fill>
        <patternFill patternType="lightUp">
          <fgColor indexed="64"/>
          <bgColor theme="0"/>
        </patternFill>
      </fill>
      <border diagonalUp="0" diagonalDown="0">
        <left style="double">
          <color indexed="64"/>
        </left>
        <right style="double">
          <color indexed="64"/>
        </right>
        <top style="hair">
          <color indexed="64"/>
        </top>
        <bottom/>
        <vertical/>
        <horizontal/>
      </border>
    </dxf>
    <dxf>
      <numFmt numFmtId="177" formatCode="[$€-2]\ #,##0.0000000"/>
      <fill>
        <patternFill patternType="lightUp">
          <fgColor indexed="64"/>
          <bgColor theme="0"/>
        </patternFill>
      </fill>
      <border diagonalUp="0" diagonalDown="0">
        <left style="double">
          <color indexed="64"/>
        </left>
        <right style="double">
          <color indexed="64"/>
        </right>
        <top style="hair">
          <color indexed="64"/>
        </top>
        <bottom/>
        <vertical/>
        <horizontal/>
      </border>
    </dxf>
    <dxf>
      <numFmt numFmtId="177" formatCode="[$€-2]\ #,##0.0000000"/>
      <fill>
        <patternFill patternType="lightUp">
          <fgColor indexed="64"/>
          <bgColor theme="0"/>
        </patternFill>
      </fill>
      <border diagonalUp="0" diagonalDown="0">
        <left style="double">
          <color indexed="64"/>
        </left>
        <right style="double">
          <color indexed="64"/>
        </right>
        <top style="hair">
          <color indexed="64"/>
        </top>
        <bottom/>
        <vertical/>
        <horizontal/>
      </border>
    </dxf>
    <dxf>
      <numFmt numFmtId="177" formatCode="[$€-2]\ #,##0.0000000"/>
      <fill>
        <patternFill patternType="lightUp">
          <fgColor indexed="64"/>
          <bgColor theme="0"/>
        </patternFill>
      </fill>
      <border diagonalUp="0" diagonalDown="0">
        <left style="double">
          <color indexed="64"/>
        </left>
        <right style="double">
          <color indexed="64"/>
        </right>
        <top style="hair">
          <color indexed="64"/>
        </top>
        <bottom/>
        <vertical/>
        <horizontal/>
      </border>
    </dxf>
    <dxf>
      <numFmt numFmtId="177" formatCode="[$€-2]\ #,##0.0000000"/>
      <fill>
        <patternFill patternType="lightUp">
          <fgColor indexed="64"/>
          <bgColor theme="0"/>
        </patternFill>
      </fill>
      <border diagonalUp="0" diagonalDown="0">
        <left/>
        <right style="double">
          <color indexed="64"/>
        </right>
        <top style="hair">
          <color indexed="64"/>
        </top>
        <bottom/>
        <vertical/>
        <horizontal/>
      </border>
    </dxf>
    <dxf>
      <numFmt numFmtId="177" formatCode="[$€-2]\ #,##0.0000000"/>
      <fill>
        <patternFill patternType="lightUp">
          <fgColor indexed="64"/>
          <bgColor theme="0"/>
        </patternFill>
      </fill>
      <border diagonalUp="0" diagonalDown="0">
        <left style="hair">
          <color indexed="64"/>
        </left>
        <right style="double">
          <color indexed="64"/>
        </right>
        <top style="hair">
          <color indexed="64"/>
        </top>
        <bottom/>
        <vertical/>
        <horizontal/>
      </border>
    </dxf>
    <dxf>
      <numFmt numFmtId="177" formatCode="[$€-2]\ #,##0.0000000"/>
      <fill>
        <patternFill patternType="solid">
          <fgColor indexed="64"/>
          <bgColor theme="0"/>
        </patternFill>
      </fill>
      <border diagonalUp="0" diagonalDown="0">
        <left style="hair">
          <color indexed="64"/>
        </left>
        <right style="hair">
          <color indexed="64"/>
        </right>
        <top style="hair">
          <color indexed="64"/>
        </top>
        <bottom style="hair">
          <color indexed="64"/>
        </bottom>
        <vertical/>
        <horizontal/>
      </border>
    </dxf>
    <dxf>
      <numFmt numFmtId="177" formatCode="[$€-2]\ #,##0.0000000"/>
      <fill>
        <patternFill patternType="solid">
          <fgColor indexed="64"/>
          <bgColor theme="0"/>
        </patternFill>
      </fill>
      <border diagonalUp="0" diagonalDown="0">
        <left/>
        <right style="hair">
          <color indexed="64"/>
        </right>
        <top style="hair">
          <color indexed="64"/>
        </top>
        <bottom/>
        <vertical/>
        <horizontal/>
      </border>
    </dxf>
    <dxf>
      <numFmt numFmtId="177" formatCode="[$€-2]\ #,##0.0000000"/>
      <fill>
        <patternFill patternType="solid">
          <fgColor indexed="64"/>
          <bgColor theme="0"/>
        </patternFill>
      </fill>
      <border diagonalUp="0" diagonalDown="0">
        <left style="hair">
          <color indexed="64"/>
        </left>
        <right style="hair">
          <color indexed="64"/>
        </right>
        <top style="hair">
          <color indexed="64"/>
        </top>
        <bottom style="hair">
          <color indexed="64"/>
        </bottom>
        <vertical/>
        <horizontal/>
      </border>
    </dxf>
    <dxf>
      <numFmt numFmtId="177" formatCode="[$€-2]\ #,##0.0000000"/>
      <fill>
        <patternFill patternType="solid">
          <fgColor indexed="64"/>
          <bgColor theme="0"/>
        </patternFill>
      </fill>
      <border diagonalUp="0" diagonalDown="0">
        <left style="double">
          <color indexed="64"/>
        </left>
        <right style="hair">
          <color indexed="64"/>
        </right>
        <top style="hair">
          <color indexed="64"/>
        </top>
        <bottom/>
        <vertical/>
        <horizontal/>
      </border>
    </dxf>
    <dxf>
      <numFmt numFmtId="177" formatCode="[$€-2]\ #,##0.0000000"/>
      <fill>
        <patternFill patternType="solid">
          <fgColor indexed="64"/>
          <bgColor theme="0"/>
        </patternFill>
      </fill>
      <border diagonalUp="0" diagonalDown="0">
        <left style="double">
          <color indexed="64"/>
        </left>
        <right style="double">
          <color indexed="64"/>
        </right>
        <top style="hair">
          <color indexed="64"/>
        </top>
        <bottom style="hair">
          <color indexed="64"/>
        </bottom>
        <vertical/>
        <horizontal/>
      </border>
    </dxf>
    <dxf>
      <numFmt numFmtId="177" formatCode="[$€-2]\ #,##0.0000000"/>
      <fill>
        <patternFill patternType="solid">
          <fgColor indexed="64"/>
          <bgColor theme="0"/>
        </patternFill>
      </fill>
      <border diagonalUp="0" diagonalDown="0">
        <left style="double">
          <color indexed="64"/>
        </left>
        <right/>
        <top style="hair">
          <color indexed="64"/>
        </top>
        <bottom/>
        <vertical/>
        <horizontal/>
      </border>
    </dxf>
    <dxf>
      <numFmt numFmtId="177" formatCode="[$€-2]\ #,##0.0000000"/>
      <fill>
        <patternFill patternType="solid">
          <fgColor indexed="64"/>
          <bgColor theme="0"/>
        </patternFill>
      </fill>
      <border diagonalUp="0" diagonalDown="0">
        <left/>
        <right/>
        <top style="hair">
          <color indexed="64"/>
        </top>
        <bottom/>
        <vertical/>
        <horizontal/>
      </border>
    </dxf>
    <dxf>
      <numFmt numFmtId="177" formatCode="[$€-2]\ #,##0.0000000"/>
      <fill>
        <patternFill patternType="solid">
          <fgColor indexed="64"/>
          <bgColor theme="0"/>
        </patternFill>
      </fill>
      <border diagonalUp="0" diagonalDown="0">
        <left style="hair">
          <color indexed="64"/>
        </left>
        <right style="double">
          <color indexed="64"/>
        </right>
        <top style="hair">
          <color indexed="64"/>
        </top>
        <bottom/>
        <vertical/>
        <horizontal/>
      </border>
    </dxf>
    <dxf>
      <numFmt numFmtId="177" formatCode="[$€-2]\ #,##0.0000000"/>
      <fill>
        <patternFill patternType="solid">
          <fgColor indexed="64"/>
          <bgColor theme="0"/>
        </patternFill>
      </fill>
      <border diagonalUp="0" diagonalDown="0">
        <left style="hair">
          <color indexed="64"/>
        </left>
        <right style="hair">
          <color indexed="64"/>
        </right>
        <top style="hair">
          <color indexed="64"/>
        </top>
        <bottom/>
        <vertical/>
        <horizontal/>
      </border>
    </dxf>
    <dxf>
      <numFmt numFmtId="177" formatCode="[$€-2]\ #,##0.0000000"/>
      <fill>
        <patternFill patternType="solid">
          <fgColor indexed="64"/>
          <bgColor theme="0"/>
        </patternFill>
      </fill>
      <border diagonalUp="0" diagonalDown="0">
        <left style="double">
          <color indexed="64"/>
        </left>
        <right style="hair">
          <color indexed="64"/>
        </right>
        <top style="hair">
          <color indexed="64"/>
        </top>
        <bottom/>
        <vertical/>
        <horizontal/>
      </border>
    </dxf>
    <dxf>
      <numFmt numFmtId="177" formatCode="[$€-2]\ #,##0.0000000"/>
      <fill>
        <patternFill patternType="solid">
          <fgColor indexed="64"/>
          <bgColor theme="0"/>
        </patternFill>
      </fill>
      <border diagonalUp="0" diagonalDown="0">
        <left/>
        <right/>
        <top style="hair">
          <color indexed="64"/>
        </top>
        <bottom/>
        <vertical/>
        <horizontal/>
      </border>
    </dxf>
    <dxf>
      <numFmt numFmtId="177" formatCode="[$€-2]\ #,##0.0000000"/>
      <fill>
        <patternFill patternType="solid">
          <fgColor indexed="64"/>
          <bgColor theme="0"/>
        </patternFill>
      </fill>
      <border diagonalUp="0" diagonalDown="0">
        <left style="hair">
          <color indexed="64"/>
        </left>
        <right style="double">
          <color indexed="64"/>
        </right>
        <top style="hair">
          <color indexed="64"/>
        </top>
        <bottom/>
        <vertical/>
        <horizontal/>
      </border>
    </dxf>
    <dxf>
      <numFmt numFmtId="177" formatCode="[$€-2]\ #,##0.0000000"/>
      <fill>
        <patternFill patternType="solid">
          <fgColor indexed="64"/>
          <bgColor theme="0"/>
        </patternFill>
      </fill>
      <border diagonalUp="0" diagonalDown="0">
        <left style="double">
          <color indexed="64"/>
        </left>
        <right style="hair">
          <color indexed="64"/>
        </right>
        <top style="hair">
          <color indexed="64"/>
        </top>
        <bottom/>
        <vertical/>
        <horizontal/>
      </border>
    </dxf>
    <dxf>
      <numFmt numFmtId="177" formatCode="[$€-2]\ #,##0.0000000"/>
      <fill>
        <patternFill patternType="solid">
          <fgColor indexed="64"/>
          <bgColor theme="0"/>
        </patternFill>
      </fill>
      <border diagonalUp="0" diagonalDown="0">
        <left style="double">
          <color indexed="64"/>
        </left>
        <right/>
        <top style="hair">
          <color indexed="64"/>
        </top>
        <bottom/>
        <vertical/>
        <horizontal/>
      </border>
    </dxf>
    <dxf>
      <fill>
        <patternFill patternType="solid">
          <fgColor indexed="64"/>
          <bgColor theme="0"/>
        </patternFill>
      </fill>
      <border diagonalUp="0" diagonalDown="0">
        <left style="double">
          <color indexed="64"/>
        </left>
        <right style="double">
          <color indexed="64"/>
        </right>
        <top style="hair">
          <color indexed="64"/>
        </top>
        <bottom/>
        <vertical/>
        <horizontal/>
      </border>
    </dxf>
    <dxf>
      <fill>
        <patternFill patternType="solid">
          <fgColor indexed="64"/>
          <bgColor theme="0"/>
        </patternFill>
      </fill>
      <border diagonalUp="0" diagonalDown="0">
        <left/>
        <right/>
        <top style="hair">
          <color indexed="64"/>
        </top>
        <bottom/>
        <vertical/>
        <horizontal/>
      </border>
    </dxf>
    <dxf>
      <border outline="0">
        <left style="medium">
          <color indexed="64"/>
        </left>
        <right style="medium">
          <color indexed="64"/>
        </right>
        <top style="medium">
          <color indexed="64"/>
        </top>
        <bottom style="medium">
          <color indexed="64"/>
        </bottom>
      </border>
    </dxf>
    <dxf>
      <fill>
        <patternFill patternType="solid">
          <fgColor indexed="64"/>
          <bgColor theme="0"/>
        </patternFill>
      </fill>
    </dxf>
    <dxf>
      <border outline="0">
        <bottom style="medium">
          <color indexed="64"/>
        </bottom>
      </border>
    </dxf>
    <dxf>
      <font>
        <b val="0"/>
        <i val="0"/>
        <strike val="0"/>
        <condense val="0"/>
        <extend val="0"/>
        <outline val="0"/>
        <shadow val="0"/>
        <u val="none"/>
        <vertAlign val="baseline"/>
        <sz val="11"/>
        <color auto="1"/>
        <name val="Calibri"/>
        <family val="2"/>
        <scheme val="minor"/>
      </font>
      <fill>
        <patternFill patternType="solid">
          <fgColor indexed="64"/>
          <bgColor theme="0"/>
        </patternFill>
      </fill>
      <alignment horizontal="center" vertical="center" textRotation="0" wrapText="1" indent="0" justifyLastLine="0" shrinkToFit="0" readingOrder="0"/>
      <border diagonalUp="0" diagonalDown="0" outline="0">
        <left style="double">
          <color indexed="64"/>
        </left>
        <right style="double">
          <color indexed="64"/>
        </right>
        <top/>
        <bottom/>
      </border>
    </dxf>
    <dxf>
      <numFmt numFmtId="177" formatCode="[$€-2]\ #,##0.0000000"/>
      <fill>
        <patternFill patternType="solid">
          <fgColor indexed="64"/>
          <bgColor theme="0"/>
        </patternFill>
      </fill>
      <border diagonalUp="0" diagonalDown="0">
        <left/>
        <right/>
        <top style="hair">
          <color indexed="64"/>
        </top>
        <bottom style="hair">
          <color indexed="64"/>
        </bottom>
      </border>
    </dxf>
    <dxf>
      <numFmt numFmtId="177" formatCode="[$€-2]\ #,##0.0000000"/>
      <fill>
        <patternFill patternType="solid">
          <fgColor indexed="64"/>
          <bgColor theme="0"/>
        </patternFill>
      </fill>
      <border diagonalUp="0" diagonalDown="0">
        <left style="double">
          <color indexed="64"/>
        </left>
        <right style="double">
          <color indexed="64"/>
        </right>
        <top style="hair">
          <color indexed="64"/>
        </top>
        <bottom style="hair">
          <color indexed="64"/>
        </bottom>
      </border>
    </dxf>
    <dxf>
      <numFmt numFmtId="177" formatCode="[$€-2]\ #,##0.0000000"/>
      <fill>
        <patternFill patternType="solid">
          <fgColor indexed="64"/>
          <bgColor theme="0"/>
        </patternFill>
      </fill>
      <border diagonalUp="0" diagonalDown="0">
        <left style="double">
          <color indexed="64"/>
        </left>
        <right style="double">
          <color indexed="64"/>
        </right>
        <top style="hair">
          <color indexed="64"/>
        </top>
        <bottom style="hair">
          <color indexed="64"/>
        </bottom>
      </border>
    </dxf>
    <dxf>
      <numFmt numFmtId="177" formatCode="[$€-2]\ #,##0.0000000"/>
      <fill>
        <patternFill patternType="lightUp">
          <fgColor indexed="64"/>
          <bgColor theme="0"/>
        </patternFill>
      </fill>
      <border diagonalUp="0" diagonalDown="0">
        <left style="double">
          <color indexed="64"/>
        </left>
        <right style="double">
          <color indexed="64"/>
        </right>
        <top style="hair">
          <color indexed="64"/>
        </top>
        <bottom/>
        <vertical/>
        <horizontal/>
      </border>
    </dxf>
    <dxf>
      <numFmt numFmtId="177" formatCode="[$€-2]\ #,##0.0000000"/>
      <fill>
        <patternFill patternType="solid">
          <fgColor indexed="64"/>
          <bgColor theme="0"/>
        </patternFill>
      </fill>
      <border diagonalUp="0" diagonalDown="0">
        <left style="double">
          <color indexed="64"/>
        </left>
        <right style="double">
          <color indexed="64"/>
        </right>
        <top style="hair">
          <color indexed="64"/>
        </top>
        <bottom style="hair">
          <color indexed="64"/>
        </bottom>
      </border>
    </dxf>
    <dxf>
      <numFmt numFmtId="177" formatCode="[$€-2]\ #,##0.0000000"/>
      <fill>
        <patternFill patternType="lightUp">
          <fgColor indexed="64"/>
          <bgColor theme="0"/>
        </patternFill>
      </fill>
      <border diagonalUp="0" diagonalDown="0">
        <left style="double">
          <color indexed="64"/>
        </left>
        <right style="double">
          <color indexed="64"/>
        </right>
        <top style="hair">
          <color indexed="64"/>
        </top>
        <bottom/>
        <vertical/>
        <horizontal/>
      </border>
    </dxf>
    <dxf>
      <numFmt numFmtId="177" formatCode="[$€-2]\ #,##0.0000000"/>
      <fill>
        <patternFill patternType="solid">
          <fgColor indexed="64"/>
          <bgColor theme="0"/>
        </patternFill>
      </fill>
      <border diagonalUp="0" diagonalDown="0">
        <left style="hair">
          <color indexed="64"/>
        </left>
        <right style="double">
          <color indexed="64"/>
        </right>
        <top style="hair">
          <color indexed="64"/>
        </top>
        <bottom style="hair">
          <color indexed="64"/>
        </bottom>
        <vertical/>
      </border>
    </dxf>
    <dxf>
      <numFmt numFmtId="0" formatCode="General"/>
      <fill>
        <patternFill patternType="solid">
          <fgColor indexed="64"/>
          <bgColor theme="0"/>
        </patternFill>
      </fill>
      <border diagonalUp="0" diagonalDown="0">
        <left/>
        <right style="hair">
          <color indexed="64"/>
        </right>
        <top style="hair">
          <color indexed="64"/>
        </top>
        <bottom/>
        <vertical/>
        <horizontal/>
      </border>
    </dxf>
    <dxf>
      <numFmt numFmtId="177" formatCode="[$€-2]\ #,##0.0000000"/>
      <fill>
        <patternFill patternType="solid">
          <fgColor indexed="64"/>
          <bgColor theme="0"/>
        </patternFill>
      </fill>
      <border diagonalUp="0" diagonalDown="0">
        <left style="hair">
          <color indexed="64"/>
        </left>
        <right style="hair">
          <color indexed="64"/>
        </right>
        <top style="hair">
          <color indexed="64"/>
        </top>
        <bottom style="hair">
          <color indexed="64"/>
        </bottom>
      </border>
    </dxf>
    <dxf>
      <numFmt numFmtId="177" formatCode="[$€-2]\ #,##0.0000000"/>
      <fill>
        <patternFill patternType="solid">
          <fgColor indexed="64"/>
          <bgColor theme="0"/>
        </patternFill>
      </fill>
      <border diagonalUp="0" diagonalDown="0">
        <left style="hair">
          <color indexed="64"/>
        </left>
        <right style="hair">
          <color indexed="64"/>
        </right>
        <top style="hair">
          <color indexed="64"/>
        </top>
        <bottom/>
        <vertical/>
        <horizontal/>
      </border>
    </dxf>
    <dxf>
      <numFmt numFmtId="177" formatCode="[$€-2]\ #,##0.0000000"/>
      <fill>
        <patternFill patternType="solid">
          <fgColor indexed="64"/>
          <bgColor theme="0"/>
        </patternFill>
      </fill>
      <border diagonalUp="0" diagonalDown="0">
        <left style="double">
          <color indexed="64"/>
        </left>
        <right style="hair">
          <color indexed="64"/>
        </right>
        <top style="hair">
          <color indexed="64"/>
        </top>
        <bottom style="hair">
          <color indexed="64"/>
        </bottom>
      </border>
    </dxf>
    <dxf>
      <numFmt numFmtId="176" formatCode="[$€-2]\ #,##0.00"/>
      <fill>
        <patternFill patternType="solid">
          <fgColor indexed="64"/>
          <bgColor theme="0"/>
        </patternFill>
      </fill>
      <border diagonalUp="0" diagonalDown="0">
        <left style="double">
          <color indexed="64"/>
        </left>
        <right style="double">
          <color indexed="64"/>
        </right>
        <top style="hair">
          <color indexed="64"/>
        </top>
        <bottom/>
        <vertical/>
        <horizontal/>
      </border>
    </dxf>
    <dxf>
      <numFmt numFmtId="177" formatCode="[$€-2]\ #,##0.0000000"/>
      <fill>
        <patternFill patternType="solid">
          <fgColor indexed="64"/>
          <bgColor theme="0"/>
        </patternFill>
      </fill>
      <border diagonalUp="0" diagonalDown="0">
        <left style="double">
          <color indexed="64"/>
        </left>
        <right style="hair">
          <color indexed="64"/>
        </right>
        <top style="hair">
          <color indexed="64"/>
        </top>
        <bottom style="hair">
          <color indexed="64"/>
        </bottom>
      </border>
    </dxf>
    <dxf>
      <numFmt numFmtId="177" formatCode="[$€-2]\ #,##0.0000000"/>
      <fill>
        <patternFill patternType="solid">
          <fgColor indexed="64"/>
          <bgColor theme="0"/>
        </patternFill>
      </fill>
      <border diagonalUp="0" diagonalDown="0">
        <left/>
        <right/>
        <top style="hair">
          <color indexed="64"/>
        </top>
        <bottom/>
        <vertical/>
        <horizontal/>
      </border>
    </dxf>
    <dxf>
      <numFmt numFmtId="177" formatCode="[$€-2]\ #,##0.0000000"/>
      <fill>
        <patternFill patternType="solid">
          <fgColor indexed="64"/>
          <bgColor theme="0"/>
        </patternFill>
      </fill>
      <border diagonalUp="0" diagonalDown="0">
        <left style="hair">
          <color indexed="64"/>
        </left>
        <right style="double">
          <color indexed="64"/>
        </right>
        <top style="hair">
          <color indexed="64"/>
        </top>
        <bottom style="hair">
          <color indexed="64"/>
        </bottom>
      </border>
    </dxf>
    <dxf>
      <numFmt numFmtId="177" formatCode="[$€-2]\ #,##0.0000000"/>
      <fill>
        <patternFill patternType="solid">
          <fgColor indexed="64"/>
          <bgColor theme="0"/>
        </patternFill>
      </fill>
      <border diagonalUp="0" diagonalDown="0">
        <left style="hair">
          <color indexed="64"/>
        </left>
        <right style="hair">
          <color indexed="64"/>
        </right>
        <top style="hair">
          <color indexed="64"/>
        </top>
        <bottom style="hair">
          <color indexed="64"/>
        </bottom>
      </border>
    </dxf>
    <dxf>
      <numFmt numFmtId="177" formatCode="[$€-2]\ #,##0.0000000"/>
      <fill>
        <patternFill patternType="solid">
          <fgColor indexed="64"/>
          <bgColor theme="0"/>
        </patternFill>
      </fill>
      <border diagonalUp="0" diagonalDown="0">
        <left style="double">
          <color indexed="64"/>
        </left>
        <right style="hair">
          <color indexed="64"/>
        </right>
        <top style="hair">
          <color indexed="64"/>
        </top>
        <bottom style="hair">
          <color indexed="64"/>
        </bottom>
      </border>
    </dxf>
    <dxf>
      <numFmt numFmtId="177" formatCode="[$€-2]\ #,##0.0000000"/>
      <fill>
        <patternFill patternType="solid">
          <fgColor indexed="64"/>
          <bgColor theme="0"/>
        </patternFill>
      </fill>
      <border diagonalUp="0" diagonalDown="0">
        <left/>
        <right/>
        <top style="hair">
          <color indexed="64"/>
        </top>
        <bottom/>
        <vertical/>
        <horizontal/>
      </border>
    </dxf>
    <dxf>
      <numFmt numFmtId="177" formatCode="[$€-2]\ #,##0.0000000"/>
      <fill>
        <patternFill patternType="solid">
          <fgColor indexed="64"/>
          <bgColor theme="0"/>
        </patternFill>
      </fill>
      <border diagonalUp="0" diagonalDown="0">
        <left style="hair">
          <color indexed="64"/>
        </left>
        <right style="double">
          <color indexed="64"/>
        </right>
        <top style="hair">
          <color indexed="64"/>
        </top>
        <bottom style="hair">
          <color indexed="64"/>
        </bottom>
      </border>
    </dxf>
    <dxf>
      <numFmt numFmtId="177" formatCode="[$€-2]\ #,##0.0000000"/>
      <fill>
        <patternFill patternType="solid">
          <fgColor indexed="64"/>
          <bgColor theme="0"/>
        </patternFill>
      </fill>
      <border diagonalUp="0" diagonalDown="0">
        <left style="double">
          <color indexed="64"/>
        </left>
        <right style="hair">
          <color indexed="64"/>
        </right>
        <top style="hair">
          <color indexed="64"/>
        </top>
        <bottom style="hair">
          <color indexed="64"/>
        </bottom>
      </border>
    </dxf>
    <dxf>
      <numFmt numFmtId="177" formatCode="[$€-2]\ #,##0.0000000"/>
      <fill>
        <patternFill patternType="solid">
          <fgColor indexed="64"/>
          <bgColor theme="0"/>
        </patternFill>
      </fill>
      <border diagonalUp="0" diagonalDown="0">
        <left style="double">
          <color indexed="64"/>
        </left>
        <right/>
        <top style="hair">
          <color indexed="64"/>
        </top>
        <bottom/>
        <vertical/>
        <horizontal/>
      </border>
    </dxf>
    <dxf>
      <fill>
        <patternFill patternType="solid">
          <fgColor indexed="64"/>
          <bgColor theme="0"/>
        </patternFill>
      </fill>
      <border diagonalUp="0" diagonalDown="0">
        <left style="double">
          <color indexed="64"/>
        </left>
        <right style="double">
          <color indexed="64"/>
        </right>
        <top style="hair">
          <color indexed="64"/>
        </top>
        <bottom/>
        <vertical/>
        <horizontal/>
      </border>
    </dxf>
    <dxf>
      <fill>
        <patternFill patternType="solid">
          <fgColor indexed="64"/>
          <bgColor theme="0"/>
        </patternFill>
      </fill>
      <border diagonalUp="0" diagonalDown="0">
        <left/>
        <right/>
        <top style="hair">
          <color indexed="64"/>
        </top>
        <bottom style="hair">
          <color indexed="64"/>
        </bottom>
      </border>
    </dxf>
    <dxf>
      <border outline="0">
        <left style="medium">
          <color indexed="64"/>
        </left>
        <right style="medium">
          <color indexed="64"/>
        </right>
        <top style="medium">
          <color indexed="64"/>
        </top>
        <bottom style="medium">
          <color indexed="64"/>
        </bottom>
      </border>
    </dxf>
    <dxf>
      <fill>
        <patternFill patternType="solid">
          <fgColor indexed="64"/>
          <bgColor theme="0"/>
        </patternFill>
      </fill>
    </dxf>
    <dxf>
      <border outline="0">
        <bottom style="medium">
          <color indexed="64"/>
        </bottom>
      </border>
    </dxf>
    <dxf>
      <font>
        <b val="0"/>
        <i val="0"/>
        <strike val="0"/>
        <condense val="0"/>
        <extend val="0"/>
        <outline val="0"/>
        <shadow val="0"/>
        <u val="none"/>
        <vertAlign val="baseline"/>
        <sz val="11"/>
        <color auto="1"/>
        <name val="Calibri"/>
        <family val="2"/>
        <scheme val="minor"/>
      </font>
      <fill>
        <patternFill patternType="solid">
          <fgColor indexed="64"/>
          <bgColor theme="0"/>
        </patternFill>
      </fill>
      <alignment horizontal="center" vertical="center" textRotation="0" wrapText="1" indent="0" justifyLastLine="0" shrinkToFit="0" readingOrder="0"/>
      <border diagonalUp="0" diagonalDown="0" outline="0">
        <left style="double">
          <color indexed="64"/>
        </left>
        <right style="double">
          <color indexed="64"/>
        </right>
        <top/>
        <bottom/>
      </border>
    </dxf>
    <dxf>
      <numFmt numFmtId="176" formatCode="[$€-2]\ #,##0.00"/>
      <fill>
        <patternFill patternType="solid">
          <fgColor indexed="64"/>
          <bgColor theme="0"/>
        </patternFill>
      </fill>
      <border diagonalUp="0" diagonalDown="0" outline="0">
        <left style="hair">
          <color indexed="64"/>
        </left>
        <right/>
        <top style="medium">
          <color indexed="64"/>
        </top>
        <bottom/>
      </border>
    </dxf>
    <dxf>
      <numFmt numFmtId="176" formatCode="[$€-2]\ #,##0.00"/>
      <fill>
        <patternFill>
          <fgColor indexed="64"/>
          <bgColor theme="0"/>
        </patternFill>
      </fill>
      <border diagonalUp="0" diagonalDown="0" outline="0">
        <left/>
        <right/>
        <top style="hair">
          <color indexed="64"/>
        </top>
        <bottom style="hair">
          <color indexed="64"/>
        </bottom>
      </border>
    </dxf>
    <dxf>
      <numFmt numFmtId="176" formatCode="[$€-2]\ #,##0.00"/>
      <fill>
        <patternFill patternType="solid">
          <fgColor indexed="64"/>
          <bgColor theme="0"/>
        </patternFill>
      </fill>
      <border diagonalUp="0" diagonalDown="0" outline="0">
        <left style="hair">
          <color indexed="64"/>
        </left>
        <right/>
        <top style="medium">
          <color indexed="64"/>
        </top>
        <bottom/>
      </border>
    </dxf>
    <dxf>
      <numFmt numFmtId="176" formatCode="[$€-2]\ #,##0.00"/>
      <fill>
        <patternFill patternType="solid">
          <fgColor indexed="64"/>
          <bgColor theme="0"/>
        </patternFill>
      </fill>
      <border diagonalUp="0" diagonalDown="0" outline="0">
        <left style="hair">
          <color indexed="64"/>
        </left>
        <right style="hair">
          <color indexed="64"/>
        </right>
        <top style="hair">
          <color indexed="64"/>
        </top>
        <bottom style="hair">
          <color indexed="64"/>
        </bottom>
      </border>
    </dxf>
    <dxf>
      <numFmt numFmtId="176" formatCode="[$€-2]\ #,##0.00"/>
      <fill>
        <patternFill patternType="solid">
          <fgColor indexed="64"/>
          <bgColor theme="0"/>
        </patternFill>
      </fill>
      <border diagonalUp="0" diagonalDown="0" outline="0">
        <left style="hair">
          <color indexed="64"/>
        </left>
        <right/>
        <top style="medium">
          <color indexed="64"/>
        </top>
        <bottom/>
      </border>
    </dxf>
    <dxf>
      <numFmt numFmtId="176" formatCode="[$€-2]\ #,##0.00"/>
      <fill>
        <patternFill patternType="solid">
          <fgColor indexed="64"/>
          <bgColor theme="0"/>
        </patternFill>
      </fill>
      <border diagonalUp="0" diagonalDown="0">
        <left style="hair">
          <color indexed="64"/>
        </left>
        <right/>
        <top style="hair">
          <color indexed="64"/>
        </top>
        <bottom style="hair">
          <color indexed="64"/>
        </bottom>
        <vertical/>
        <horizontal/>
      </border>
    </dxf>
    <dxf>
      <numFmt numFmtId="176" formatCode="[$€-2]\ #,##0.00"/>
      <fill>
        <patternFill patternType="solid">
          <fgColor indexed="64"/>
          <bgColor theme="0"/>
        </patternFill>
      </fill>
      <border diagonalUp="0" diagonalDown="0" outline="0">
        <left style="hair">
          <color indexed="64"/>
        </left>
        <right/>
        <top style="medium">
          <color indexed="64"/>
        </top>
        <bottom/>
      </border>
    </dxf>
    <dxf>
      <numFmt numFmtId="176" formatCode="[$€-2]\ #,##0.00"/>
      <fill>
        <patternFill>
          <fgColor indexed="64"/>
          <bgColor theme="0"/>
        </patternFill>
      </fill>
      <border diagonalUp="0" diagonalDown="0">
        <left style="hair">
          <color indexed="64"/>
        </left>
        <right style="hair">
          <color indexed="64"/>
        </right>
        <top style="hair">
          <color indexed="64"/>
        </top>
        <bottom style="hair">
          <color indexed="64"/>
        </bottom>
      </border>
    </dxf>
    <dxf>
      <numFmt numFmtId="176" formatCode="[$€-2]\ #,##0.00"/>
      <fill>
        <patternFill patternType="solid">
          <fgColor indexed="64"/>
          <bgColor theme="0"/>
        </patternFill>
      </fill>
      <border diagonalUp="0" diagonalDown="0" outline="0">
        <left style="hair">
          <color indexed="64"/>
        </left>
        <right style="hair">
          <color indexed="64"/>
        </right>
        <top style="medium">
          <color indexed="64"/>
        </top>
        <bottom/>
      </border>
    </dxf>
    <dxf>
      <numFmt numFmtId="176" formatCode="[$€-2]\ #,##0.00"/>
      <fill>
        <patternFill>
          <fgColor indexed="64"/>
          <bgColor theme="0"/>
        </patternFill>
      </fill>
      <border diagonalUp="0" diagonalDown="0">
        <left style="hair">
          <color indexed="64"/>
        </left>
        <right style="hair">
          <color indexed="64"/>
        </right>
        <top style="hair">
          <color indexed="64"/>
        </top>
        <bottom style="hair">
          <color indexed="64"/>
        </bottom>
      </border>
    </dxf>
    <dxf>
      <numFmt numFmtId="176" formatCode="[$€-2]\ #,##0.00"/>
      <fill>
        <patternFill patternType="solid">
          <fgColor indexed="64"/>
          <bgColor theme="0"/>
        </patternFill>
      </fill>
      <border diagonalUp="0" diagonalDown="0" outline="0">
        <left style="hair">
          <color indexed="64"/>
        </left>
        <right style="hair">
          <color indexed="64"/>
        </right>
        <top style="medium">
          <color indexed="64"/>
        </top>
        <bottom/>
      </border>
    </dxf>
    <dxf>
      <numFmt numFmtId="176" formatCode="[$€-2]\ #,##0.00"/>
      <fill>
        <patternFill>
          <fgColor indexed="64"/>
          <bgColor theme="0"/>
        </patternFill>
      </fill>
      <border diagonalUp="0" diagonalDown="0">
        <left style="hair">
          <color indexed="64"/>
        </left>
        <right style="hair">
          <color indexed="64"/>
        </right>
        <top style="hair">
          <color indexed="64"/>
        </top>
        <bottom style="hair">
          <color indexed="64"/>
        </bottom>
      </border>
    </dxf>
    <dxf>
      <numFmt numFmtId="176" formatCode="[$€-2]\ #,##0.00"/>
      <fill>
        <patternFill patternType="solid">
          <fgColor indexed="64"/>
          <bgColor theme="0"/>
        </patternFill>
      </fill>
      <border diagonalUp="0" diagonalDown="0" outline="0">
        <left style="double">
          <color indexed="64"/>
        </left>
        <right style="hair">
          <color indexed="64"/>
        </right>
        <top style="medium">
          <color auto="1"/>
        </top>
        <bottom/>
      </border>
    </dxf>
    <dxf>
      <numFmt numFmtId="176" formatCode="[$€-2]\ #,##0.00"/>
      <fill>
        <patternFill>
          <fgColor indexed="64"/>
          <bgColor theme="0"/>
        </patternFill>
      </fill>
      <border diagonalUp="0" diagonalDown="0">
        <left style="double">
          <color indexed="64"/>
        </left>
        <right style="hair">
          <color indexed="64"/>
        </right>
        <top style="hair">
          <color indexed="64"/>
        </top>
        <bottom style="hair">
          <color indexed="64"/>
        </bottom>
      </border>
    </dxf>
    <dxf>
      <numFmt numFmtId="176" formatCode="[$€-2]\ #,##0.00"/>
      <fill>
        <patternFill patternType="solid">
          <fgColor indexed="64"/>
          <bgColor theme="0"/>
        </patternFill>
      </fill>
      <border diagonalUp="0" diagonalDown="0" outline="0">
        <left style="double">
          <color indexed="64"/>
        </left>
        <right style="double">
          <color indexed="64"/>
        </right>
        <top style="medium">
          <color indexed="64"/>
        </top>
        <bottom/>
      </border>
    </dxf>
    <dxf>
      <numFmt numFmtId="176" formatCode="[$€-2]\ #,##0.00"/>
      <fill>
        <patternFill>
          <fgColor indexed="64"/>
          <bgColor theme="0"/>
        </patternFill>
      </fill>
      <border diagonalUp="0" diagonalDown="0">
        <left style="double">
          <color indexed="64"/>
        </left>
        <right style="double">
          <color indexed="64"/>
        </right>
        <top style="hair">
          <color indexed="64"/>
        </top>
        <bottom style="hair">
          <color indexed="64"/>
        </bottom>
      </border>
    </dxf>
    <dxf>
      <fill>
        <patternFill patternType="solid">
          <fgColor indexed="64"/>
          <bgColor theme="0"/>
        </patternFill>
      </fill>
      <border diagonalUp="0" diagonalDown="0" outline="0">
        <left/>
        <right/>
        <top style="medium">
          <color indexed="64"/>
        </top>
        <bottom/>
      </border>
    </dxf>
    <dxf>
      <fill>
        <patternFill>
          <fgColor indexed="64"/>
          <bgColor theme="0"/>
        </patternFill>
      </fill>
      <border diagonalUp="0" diagonalDown="0">
        <left/>
        <right/>
        <top style="hair">
          <color indexed="64"/>
        </top>
        <bottom style="hair">
          <color indexed="64"/>
        </bottom>
      </border>
    </dxf>
    <dxf>
      <border>
        <top style="medium">
          <color indexed="64"/>
        </top>
      </border>
    </dxf>
    <dxf>
      <border diagonalUp="0" diagonalDown="0">
        <left style="medium">
          <color indexed="64"/>
        </left>
        <right style="medium">
          <color indexed="64"/>
        </right>
        <top style="medium">
          <color indexed="64"/>
        </top>
        <bottom style="medium">
          <color indexed="64"/>
        </bottom>
      </border>
    </dxf>
    <dxf>
      <fill>
        <patternFill>
          <fgColor indexed="64"/>
          <bgColor theme="0"/>
        </patternFill>
      </fill>
    </dxf>
    <dxf>
      <border>
        <bottom style="medium">
          <color indexed="64"/>
        </bottom>
      </border>
    </dxf>
    <dxf>
      <fill>
        <patternFill>
          <fgColor indexed="64"/>
          <bgColor theme="0"/>
        </patternFill>
      </fill>
      <alignment horizontal="center" vertical="center" textRotation="0" indent="0" justifyLastLine="0" shrinkToFit="0" readingOrder="0"/>
    </dxf>
    <dxf>
      <numFmt numFmtId="176" formatCode="[$€-2]\ #,##0.00"/>
      <fill>
        <patternFill patternType="solid">
          <fgColor indexed="64"/>
          <bgColor theme="0"/>
        </patternFill>
      </fill>
      <alignment horizontal="right" vertical="center" textRotation="0" wrapText="0" indent="0" justifyLastLine="0" shrinkToFit="0" readingOrder="0"/>
      <border diagonalUp="0" diagonalDown="0" outline="0">
        <left style="double">
          <color indexed="64"/>
        </left>
        <right style="hair">
          <color indexed="64"/>
        </right>
        <top style="medium">
          <color auto="1"/>
        </top>
        <bottom style="medium">
          <color indexed="64"/>
        </bottom>
      </border>
    </dxf>
    <dxf>
      <numFmt numFmtId="176" formatCode="[$€-2]\ #,##0.00"/>
      <fill>
        <patternFill patternType="solid">
          <fgColor indexed="64"/>
          <bgColor theme="0"/>
        </patternFill>
      </fill>
      <alignment horizontal="right" vertical="center" textRotation="0" wrapText="0" indent="0" justifyLastLine="0" shrinkToFit="0" readingOrder="0"/>
      <border diagonalUp="0" diagonalDown="0">
        <left style="double">
          <color indexed="64"/>
        </left>
        <right style="double">
          <color indexed="64"/>
        </right>
        <top style="hair">
          <color indexed="64"/>
        </top>
        <bottom style="hair">
          <color indexed="64"/>
        </bottom>
        <vertical/>
        <horizontal/>
      </border>
    </dxf>
    <dxf>
      <numFmt numFmtId="176" formatCode="[$€-2]\ #,##0.00"/>
      <fill>
        <patternFill patternType="solid">
          <fgColor indexed="64"/>
          <bgColor theme="0"/>
        </patternFill>
      </fill>
      <alignment horizontal="right" vertical="center" textRotation="0" wrapText="0" indent="0" justifyLastLine="0" shrinkToFit="0" readingOrder="0"/>
      <border diagonalUp="0" diagonalDown="0">
        <left style="double">
          <color indexed="64"/>
        </left>
        <right style="double">
          <color indexed="64"/>
        </right>
        <top style="medium">
          <color auto="1"/>
        </top>
        <bottom style="medium">
          <color indexed="64"/>
        </bottom>
        <vertical style="hair">
          <color indexed="64"/>
        </vertical>
        <horizontal/>
      </border>
    </dxf>
    <dxf>
      <numFmt numFmtId="176" formatCode="[$€-2]\ #,##0.00"/>
      <fill>
        <patternFill patternType="solid">
          <fgColor indexed="64"/>
          <bgColor theme="0"/>
        </patternFill>
      </fill>
      <alignment horizontal="right" vertical="center" textRotation="0" wrapText="0" indent="0" justifyLastLine="0" shrinkToFit="0" readingOrder="0"/>
      <border diagonalUp="0" diagonalDown="0">
        <left style="hair">
          <color indexed="64"/>
        </left>
        <right style="double">
          <color indexed="64"/>
        </right>
        <top style="hair">
          <color indexed="64"/>
        </top>
        <bottom style="hair">
          <color indexed="64"/>
        </bottom>
        <vertical/>
        <horizontal/>
      </border>
    </dxf>
    <dxf>
      <numFmt numFmtId="176" formatCode="[$€-2]\ #,##0.00"/>
      <fill>
        <patternFill patternType="solid">
          <fgColor indexed="64"/>
          <bgColor theme="0"/>
        </patternFill>
      </fill>
      <alignment horizontal="right" vertical="center" textRotation="0" wrapText="0" indent="0" justifyLastLine="0" shrinkToFit="0" readingOrder="0"/>
      <border diagonalUp="0" diagonalDown="0">
        <left style="double">
          <color indexed="64"/>
        </left>
        <right style="double">
          <color indexed="64"/>
        </right>
        <top style="medium">
          <color auto="1"/>
        </top>
        <bottom style="medium">
          <color indexed="64"/>
        </bottom>
        <vertical style="hair">
          <color indexed="64"/>
        </vertical>
        <horizontal/>
      </border>
    </dxf>
    <dxf>
      <numFmt numFmtId="176" formatCode="[$€-2]\ #,##0.00"/>
      <fill>
        <patternFill patternType="solid">
          <fgColor indexed="64"/>
          <bgColor theme="0"/>
        </patternFill>
      </fill>
      <alignment horizontal="right" vertical="center" textRotation="0" wrapText="0" indent="0" justifyLastLine="0" shrinkToFit="0" readingOrder="0"/>
      <border diagonalUp="0" diagonalDown="0">
        <left style="double">
          <color indexed="64"/>
        </left>
        <right style="hair">
          <color indexed="64"/>
        </right>
        <top style="hair">
          <color indexed="64"/>
        </top>
        <bottom style="hair">
          <color indexed="64"/>
        </bottom>
        <vertical/>
        <horizontal/>
      </border>
    </dxf>
    <dxf>
      <numFmt numFmtId="176" formatCode="[$€-2]\ #,##0.00"/>
      <fill>
        <patternFill patternType="solid">
          <fgColor indexed="64"/>
          <bgColor theme="0"/>
        </patternFill>
      </fill>
      <alignment horizontal="right" vertical="center" textRotation="0" wrapText="0" indent="0" justifyLastLine="0" shrinkToFit="0" readingOrder="0"/>
      <border diagonalUp="0" diagonalDown="0" outline="0">
        <left style="double">
          <color indexed="64"/>
        </left>
        <right style="hair">
          <color indexed="64"/>
        </right>
        <top style="medium">
          <color auto="1"/>
        </top>
        <bottom style="medium">
          <color indexed="64"/>
        </bottom>
      </border>
    </dxf>
    <dxf>
      <numFmt numFmtId="176" formatCode="[$€-2]\ #,##0.00"/>
      <fill>
        <patternFill patternType="solid">
          <fgColor indexed="64"/>
          <bgColor theme="0"/>
        </patternFill>
      </fill>
      <alignment horizontal="right" vertical="center" textRotation="0" wrapText="0" indent="0" justifyLastLine="0" shrinkToFit="0" readingOrder="0"/>
      <border diagonalUp="0" diagonalDown="0">
        <left style="double">
          <color indexed="64"/>
        </left>
        <right style="hair">
          <color indexed="64"/>
        </right>
        <top style="hair">
          <color indexed="64"/>
        </top>
        <bottom style="hair">
          <color indexed="64"/>
        </bottom>
      </border>
    </dxf>
    <dxf>
      <numFmt numFmtId="176" formatCode="[$€-2]\ #,##0.00"/>
      <fill>
        <patternFill patternType="solid">
          <fgColor indexed="64"/>
          <bgColor theme="0"/>
        </patternFill>
      </fill>
      <alignment horizontal="right" vertical="center" textRotation="0" wrapText="0" indent="0" justifyLastLine="0" shrinkToFit="0" readingOrder="0"/>
      <border diagonalUp="0" diagonalDown="0" outline="0">
        <left style="double">
          <color indexed="64"/>
        </left>
        <right style="hair">
          <color indexed="64"/>
        </right>
        <top style="medium">
          <color auto="1"/>
        </top>
        <bottom style="medium">
          <color indexed="64"/>
        </bottom>
      </border>
    </dxf>
    <dxf>
      <numFmt numFmtId="176" formatCode="[$€-2]\ #,##0.00"/>
      <fill>
        <patternFill patternType="solid">
          <fgColor indexed="64"/>
          <bgColor theme="0"/>
        </patternFill>
      </fill>
      <alignment horizontal="right" vertical="center" textRotation="0" wrapText="0" indent="0" justifyLastLine="0" shrinkToFit="0" readingOrder="0"/>
      <border diagonalUp="0" diagonalDown="0">
        <left style="double">
          <color indexed="64"/>
        </left>
        <right style="hair">
          <color indexed="64"/>
        </right>
        <top style="hair">
          <color indexed="64"/>
        </top>
        <bottom style="hair">
          <color indexed="64"/>
        </bottom>
      </border>
    </dxf>
    <dxf>
      <numFmt numFmtId="176" formatCode="[$€-2]\ #,##0.00"/>
      <fill>
        <patternFill patternType="solid">
          <fgColor indexed="64"/>
          <bgColor theme="0"/>
        </patternFill>
      </fill>
      <alignment horizontal="right" vertical="center" textRotation="0" wrapText="0" indent="0" justifyLastLine="0" shrinkToFit="0" readingOrder="0"/>
      <border diagonalUp="0" diagonalDown="0" outline="0">
        <left style="double">
          <color indexed="64"/>
        </left>
        <right style="hair">
          <color indexed="64"/>
        </right>
        <top style="medium">
          <color auto="1"/>
        </top>
        <bottom style="medium">
          <color indexed="64"/>
        </bottom>
      </border>
    </dxf>
    <dxf>
      <numFmt numFmtId="176" formatCode="[$€-2]\ #,##0.00"/>
      <fill>
        <patternFill patternType="solid">
          <fgColor indexed="64"/>
          <bgColor theme="0"/>
        </patternFill>
      </fill>
      <alignment horizontal="right" vertical="center" textRotation="0" wrapText="0" indent="0" justifyLastLine="0" shrinkToFit="0" readingOrder="0"/>
      <border diagonalUp="0" diagonalDown="0">
        <left style="double">
          <color indexed="64"/>
        </left>
        <right style="hair">
          <color indexed="64"/>
        </right>
        <top style="hair">
          <color indexed="64"/>
        </top>
        <bottom style="hair">
          <color indexed="64"/>
        </bottom>
      </border>
    </dxf>
    <dxf>
      <numFmt numFmtId="176" formatCode="[$€-2]\ #,##0.00"/>
      <fill>
        <patternFill patternType="solid">
          <fgColor indexed="64"/>
          <bgColor theme="0"/>
        </patternFill>
      </fill>
      <alignment horizontal="right" vertical="center" textRotation="0" wrapText="0" indent="0" justifyLastLine="0" shrinkToFit="0" readingOrder="0"/>
      <border diagonalUp="0" diagonalDown="0" outline="0">
        <left style="double">
          <color indexed="64"/>
        </left>
        <right style="hair">
          <color indexed="64"/>
        </right>
        <top style="medium">
          <color auto="1"/>
        </top>
        <bottom style="medium">
          <color indexed="64"/>
        </bottom>
      </border>
    </dxf>
    <dxf>
      <numFmt numFmtId="176" formatCode="[$€-2]\ #,##0.00"/>
      <fill>
        <patternFill patternType="solid">
          <fgColor indexed="64"/>
          <bgColor theme="0"/>
        </patternFill>
      </fill>
      <alignment horizontal="right" vertical="center" textRotation="0" wrapText="0" indent="0" justifyLastLine="0" shrinkToFit="0" readingOrder="0"/>
      <border diagonalUp="0" diagonalDown="0">
        <left style="double">
          <color indexed="64"/>
        </left>
        <right style="hair">
          <color indexed="64"/>
        </right>
        <top style="hair">
          <color indexed="64"/>
        </top>
        <bottom style="hair">
          <color indexed="64"/>
        </bottom>
      </border>
    </dxf>
    <dxf>
      <numFmt numFmtId="176" formatCode="[$€-2]\ #,##0.00"/>
      <fill>
        <patternFill patternType="solid">
          <fgColor indexed="64"/>
          <bgColor theme="0"/>
        </patternFill>
      </fill>
      <alignment horizontal="right" vertical="center" textRotation="0" wrapText="0" indent="0" justifyLastLine="0" shrinkToFit="0" readingOrder="0"/>
      <border diagonalUp="0" diagonalDown="0" outline="0">
        <left style="double">
          <color indexed="64"/>
        </left>
        <right style="hair">
          <color indexed="64"/>
        </right>
        <top style="medium">
          <color auto="1"/>
        </top>
        <bottom style="medium">
          <color indexed="64"/>
        </bottom>
      </border>
    </dxf>
    <dxf>
      <numFmt numFmtId="176" formatCode="[$€-2]\ #,##0.00"/>
      <fill>
        <patternFill patternType="solid">
          <fgColor indexed="64"/>
          <bgColor theme="0"/>
        </patternFill>
      </fill>
      <alignment horizontal="right" vertical="center" textRotation="0" wrapText="0" indent="0" justifyLastLine="0" shrinkToFit="0" readingOrder="0"/>
      <border diagonalUp="0" diagonalDown="0">
        <left style="double">
          <color indexed="64"/>
        </left>
        <right style="double">
          <color indexed="64"/>
        </right>
        <top style="hair">
          <color indexed="64"/>
        </top>
        <bottom style="hair">
          <color indexed="64"/>
        </bottom>
        <vertical/>
        <horizontal/>
      </border>
    </dxf>
    <dxf>
      <numFmt numFmtId="176" formatCode="[$€-2]\ #,##0.00"/>
      <fill>
        <patternFill patternType="solid">
          <fgColor indexed="64"/>
          <bgColor theme="0"/>
        </patternFill>
      </fill>
      <alignment horizontal="right" vertical="center" textRotation="0" wrapText="0" indent="0" justifyLastLine="0" shrinkToFit="0" readingOrder="0"/>
      <border diagonalUp="0" diagonalDown="0" outline="0">
        <left style="double">
          <color indexed="64"/>
        </left>
        <right style="double">
          <color indexed="64"/>
        </right>
        <top style="medium">
          <color indexed="64"/>
        </top>
        <bottom style="medium">
          <color indexed="64"/>
        </bottom>
      </border>
    </dxf>
    <dxf>
      <numFmt numFmtId="176" formatCode="[$€-2]\ #,##0.00"/>
      <fill>
        <patternFill patternType="solid">
          <fgColor indexed="64"/>
          <bgColor rgb="FFFFFF99"/>
        </patternFill>
      </fill>
      <alignment horizontal="right" vertical="center" textRotation="0" wrapText="0" indent="0" justifyLastLine="0" shrinkToFit="0" readingOrder="0"/>
      <border diagonalUp="0" diagonalDown="0">
        <left style="double">
          <color indexed="64"/>
        </left>
        <right style="double">
          <color indexed="64"/>
        </right>
        <top style="hair">
          <color indexed="64"/>
        </top>
        <bottom style="hair">
          <color indexed="64"/>
        </bottom>
      </border>
      <protection locked="0" hidden="0"/>
    </dxf>
    <dxf>
      <fill>
        <patternFill patternType="solid">
          <fgColor indexed="64"/>
          <bgColor theme="0"/>
        </patternFill>
      </fill>
      <alignment horizontal="left" vertical="center" textRotation="0" wrapText="0" indent="0" justifyLastLine="0" shrinkToFit="0" readingOrder="0"/>
      <border diagonalUp="0" diagonalDown="0" outline="0">
        <left style="hair">
          <color indexed="64"/>
        </left>
        <right style="hair">
          <color indexed="64"/>
        </right>
        <top style="medium">
          <color indexed="64"/>
        </top>
        <bottom style="medium">
          <color indexed="64"/>
        </bottom>
      </border>
    </dxf>
    <dxf>
      <fill>
        <patternFill patternType="solid">
          <fgColor indexed="64"/>
          <bgColor rgb="FFFFFF99"/>
        </patternFill>
      </fill>
      <alignment horizontal="left" vertical="center" textRotation="0" wrapText="0" indent="0" justifyLastLine="0" shrinkToFit="0" readingOrder="0"/>
      <border diagonalUp="0" diagonalDown="0">
        <left/>
        <right/>
        <top style="hair">
          <color indexed="64"/>
        </top>
        <bottom style="hair">
          <color indexed="64"/>
        </bottom>
        <vertical/>
        <horizontal/>
      </border>
    </dxf>
    <dxf>
      <fill>
        <patternFill patternType="solid">
          <fgColor indexed="64"/>
          <bgColor theme="0"/>
        </patternFill>
      </fill>
      <alignment horizontal="left" vertical="center" textRotation="0" wrapText="0" indent="0" justifyLastLine="0" shrinkToFit="0" readingOrder="0"/>
      <border diagonalUp="0" diagonalDown="0" outline="0">
        <left style="hair">
          <color indexed="64"/>
        </left>
        <right style="hair">
          <color indexed="64"/>
        </right>
        <top style="medium">
          <color indexed="64"/>
        </top>
        <bottom style="medium">
          <color indexed="64"/>
        </bottom>
      </border>
    </dxf>
    <dxf>
      <fill>
        <patternFill patternType="solid">
          <fgColor indexed="64"/>
          <bgColor rgb="FFFFFF99"/>
        </patternFill>
      </fill>
      <alignment horizontal="left" vertical="center" textRotation="0" wrapText="0" indent="0" justifyLastLine="0" shrinkToFit="0" readingOrder="0"/>
      <border diagonalUp="0" diagonalDown="0">
        <left style="hair">
          <color auto="1"/>
        </left>
        <right style="hair">
          <color auto="1"/>
        </right>
        <top style="hair">
          <color indexed="64"/>
        </top>
        <bottom style="hair">
          <color indexed="64"/>
        </bottom>
        <vertical style="hair">
          <color auto="1"/>
        </vertical>
        <horizontal/>
      </border>
    </dxf>
    <dxf>
      <fill>
        <patternFill patternType="solid">
          <fgColor indexed="64"/>
          <bgColor theme="0"/>
        </patternFill>
      </fill>
      <alignment horizontal="left" vertical="center" textRotation="0" wrapText="0" indent="0" justifyLastLine="0" shrinkToFit="0" readingOrder="0"/>
      <border diagonalUp="0" diagonalDown="0" outline="0">
        <left style="double">
          <color indexed="64"/>
        </left>
        <right style="hair">
          <color indexed="64"/>
        </right>
        <top style="medium">
          <color auto="1"/>
        </top>
        <bottom style="medium">
          <color indexed="64"/>
        </bottom>
      </border>
    </dxf>
    <dxf>
      <fill>
        <patternFill patternType="solid">
          <fgColor indexed="64"/>
          <bgColor rgb="FFFFFF99"/>
        </patternFill>
      </fill>
      <alignment horizontal="left" vertical="center" textRotation="0" wrapText="0" indent="0" justifyLastLine="0" shrinkToFit="0" readingOrder="0"/>
      <border diagonalUp="0" diagonalDown="0">
        <left style="double">
          <color auto="1"/>
        </left>
        <right style="hair">
          <color auto="1"/>
        </right>
        <top style="hair">
          <color indexed="64"/>
        </top>
        <bottom style="hair">
          <color indexed="64"/>
        </bottom>
        <vertical style="hair">
          <color auto="1"/>
        </vertical>
        <horizontal/>
      </border>
    </dxf>
    <dxf>
      <font>
        <b/>
        <i val="0"/>
        <strike val="0"/>
        <condense val="0"/>
        <extend val="0"/>
        <outline val="0"/>
        <shadow val="0"/>
        <u val="none"/>
        <vertAlign val="baseline"/>
        <sz val="11"/>
        <color theme="1"/>
        <name val="Calibri"/>
        <family val="2"/>
        <scheme val="minor"/>
      </font>
      <fill>
        <patternFill patternType="solid">
          <fgColor indexed="64"/>
          <bgColor theme="0"/>
        </patternFill>
      </fill>
      <alignment horizontal="left" vertical="center" textRotation="0" wrapText="0" indent="0" justifyLastLine="0" shrinkToFit="0" readingOrder="0"/>
      <border diagonalUp="0" diagonalDown="0" outline="0">
        <left/>
        <right style="double">
          <color indexed="64"/>
        </right>
        <top style="medium">
          <color auto="1"/>
        </top>
        <bottom style="medium">
          <color indexed="64"/>
        </bottom>
      </border>
    </dxf>
    <dxf>
      <fill>
        <patternFill>
          <fgColor indexed="64"/>
          <bgColor theme="0"/>
        </patternFill>
      </fill>
      <alignment horizontal="left" vertical="center" textRotation="0" wrapText="1" indent="0" justifyLastLine="0" shrinkToFit="0" readingOrder="0"/>
      <border diagonalUp="0" diagonalDown="0">
        <left/>
        <right style="double">
          <color indexed="64"/>
        </right>
        <top style="hair">
          <color indexed="64"/>
        </top>
        <bottom style="hair">
          <color indexed="64"/>
        </bottom>
      </border>
    </dxf>
    <dxf>
      <fill>
        <patternFill patternType="solid">
          <fgColor indexed="64"/>
          <bgColor theme="0"/>
        </patternFill>
      </fill>
      <alignment horizontal="left" vertical="center" textRotation="0" wrapText="0" indent="0" justifyLastLine="0" shrinkToFit="0" readingOrder="0"/>
      <border diagonalUp="0" diagonalDown="0" outline="0">
        <left/>
        <right/>
        <top style="medium">
          <color auto="1"/>
        </top>
        <bottom style="medium">
          <color indexed="64"/>
        </bottom>
      </border>
    </dxf>
    <dxf>
      <fill>
        <patternFill>
          <fgColor indexed="64"/>
          <bgColor theme="0"/>
        </patternFill>
      </fill>
      <alignment horizontal="left" vertical="center" textRotation="0" wrapText="0" indent="0" justifyLastLine="0" shrinkToFit="0" readingOrder="0"/>
      <border diagonalUp="0" diagonalDown="0">
        <top style="hair">
          <color indexed="64"/>
        </top>
        <bottom style="hair">
          <color indexed="64"/>
        </bottom>
      </border>
    </dxf>
    <dxf>
      <fill>
        <patternFill patternType="solid">
          <fgColor indexed="64"/>
          <bgColor theme="0"/>
        </patternFill>
      </fill>
      <alignment horizontal="center" vertical="center" textRotation="0" wrapText="0" indent="0" justifyLastLine="0" shrinkToFit="0" readingOrder="0"/>
      <border diagonalUp="0" diagonalDown="0" outline="0">
        <left/>
        <right/>
        <top style="medium">
          <color auto="1"/>
        </top>
        <bottom style="medium">
          <color indexed="64"/>
        </bottom>
      </border>
    </dxf>
    <dxf>
      <fill>
        <patternFill>
          <fgColor indexed="64"/>
          <bgColor theme="0"/>
        </patternFill>
      </fill>
      <alignment horizontal="left" vertical="center" textRotation="0" wrapText="0" indent="0" justifyLastLine="0" shrinkToFit="0" readingOrder="0"/>
      <border diagonalUp="0" diagonalDown="0">
        <top style="hair">
          <color indexed="64"/>
        </top>
        <bottom style="hair">
          <color indexed="64"/>
        </bottom>
      </border>
    </dxf>
    <dxf>
      <fill>
        <patternFill patternType="solid">
          <fgColor indexed="64"/>
          <bgColor theme="0"/>
        </patternFill>
      </fill>
      <alignment horizontal="center" vertical="center" textRotation="0" wrapText="0" indent="0" justifyLastLine="0" shrinkToFit="0" readingOrder="0"/>
      <border diagonalUp="0" diagonalDown="0" outline="0">
        <left/>
        <right/>
        <top style="medium">
          <color auto="1"/>
        </top>
        <bottom style="medium">
          <color indexed="64"/>
        </bottom>
      </border>
    </dxf>
    <dxf>
      <fill>
        <patternFill>
          <fgColor indexed="64"/>
          <bgColor theme="0"/>
        </patternFill>
      </fill>
      <alignment horizontal="left" vertical="center" textRotation="0" wrapText="0" indent="0" justifyLastLine="0" shrinkToFit="0" readingOrder="0"/>
      <border diagonalUp="0" diagonalDown="0">
        <top style="hair">
          <color indexed="64"/>
        </top>
        <bottom style="hair">
          <color indexed="64"/>
        </bottom>
      </border>
    </dxf>
    <dxf>
      <fill>
        <patternFill patternType="solid">
          <fgColor indexed="64"/>
          <bgColor theme="0"/>
        </patternFill>
      </fill>
      <alignment horizontal="center" vertical="center" textRotation="0" wrapText="0" indent="0" justifyLastLine="0" shrinkToFit="0" readingOrder="0"/>
      <border diagonalUp="0" diagonalDown="0" outline="0">
        <left/>
        <right/>
        <top style="medium">
          <color auto="1"/>
        </top>
        <bottom style="medium">
          <color indexed="64"/>
        </bottom>
      </border>
    </dxf>
    <dxf>
      <fill>
        <patternFill>
          <fgColor indexed="64"/>
          <bgColor theme="0"/>
        </patternFill>
      </fill>
      <alignment horizontal="left" vertical="center" textRotation="0" wrapText="0" indent="0" justifyLastLine="0" shrinkToFit="0" readingOrder="0"/>
      <border diagonalUp="0" diagonalDown="0">
        <top style="hair">
          <color indexed="64"/>
        </top>
        <bottom style="hair">
          <color indexed="64"/>
        </bottom>
      </border>
    </dxf>
    <dxf>
      <fill>
        <patternFill patternType="solid">
          <fgColor indexed="64"/>
          <bgColor theme="0"/>
        </patternFill>
      </fill>
      <alignment horizontal="center" vertical="center" textRotation="0" wrapText="0" indent="0" justifyLastLine="0" shrinkToFit="0" readingOrder="0"/>
      <border diagonalUp="0" diagonalDown="0" outline="0">
        <left/>
        <right/>
        <top style="medium">
          <color auto="1"/>
        </top>
        <bottom style="medium">
          <color indexed="64"/>
        </bottom>
      </border>
    </dxf>
    <dxf>
      <fill>
        <patternFill>
          <fgColor indexed="64"/>
          <bgColor theme="0"/>
        </patternFill>
      </fill>
      <alignment horizontal="left" vertical="center" textRotation="0" wrapText="0" indent="0" justifyLastLine="0" shrinkToFit="0" readingOrder="0"/>
      <border diagonalUp="0" diagonalDown="0">
        <top style="hair">
          <color indexed="64"/>
        </top>
        <bottom style="hair">
          <color indexed="64"/>
        </bottom>
      </border>
    </dxf>
    <dxf>
      <fill>
        <patternFill patternType="solid">
          <fgColor indexed="64"/>
          <bgColor theme="0"/>
        </patternFill>
      </fill>
      <alignment horizontal="center" vertical="center" textRotation="0" wrapText="0" indent="0" justifyLastLine="0" shrinkToFit="0" readingOrder="0"/>
      <border diagonalUp="0" diagonalDown="0" outline="0">
        <left style="medium">
          <color indexed="64"/>
        </left>
        <right/>
        <top style="medium">
          <color auto="1"/>
        </top>
        <bottom style="medium">
          <color indexed="64"/>
        </bottom>
      </border>
    </dxf>
    <dxf>
      <fill>
        <patternFill>
          <fgColor indexed="64"/>
          <bgColor theme="0"/>
        </patternFill>
      </fill>
      <alignment horizontal="left" vertical="center" textRotation="0" wrapText="0" indent="0" justifyLastLine="0" shrinkToFit="0" readingOrder="0"/>
      <border diagonalUp="0" diagonalDown="0">
        <left style="medium">
          <color indexed="64"/>
        </left>
        <right/>
        <top style="hair">
          <color indexed="64"/>
        </top>
        <bottom style="hair">
          <color indexed="64"/>
        </bottom>
      </border>
    </dxf>
    <dxf>
      <border>
        <top style="medium">
          <color indexed="64"/>
        </top>
      </border>
    </dxf>
    <dxf>
      <fill>
        <patternFill>
          <fgColor indexed="64"/>
          <bgColor theme="0"/>
        </patternFill>
      </fill>
      <alignment horizontal="center" vertical="center" textRotation="0" indent="0" justifyLastLine="0" shrinkToFit="0" readingOrder="0"/>
    </dxf>
    <dxf>
      <border diagonalUp="0" diagonalDown="0">
        <left style="medium">
          <color indexed="64"/>
        </left>
        <right style="medium">
          <color indexed="64"/>
        </right>
        <top style="medium">
          <color indexed="64"/>
        </top>
        <bottom style="medium">
          <color indexed="64"/>
        </bottom>
      </border>
    </dxf>
    <dxf>
      <fill>
        <patternFill>
          <fgColor indexed="64"/>
          <bgColor theme="0"/>
        </patternFill>
      </fill>
      <alignment horizontal="center" vertical="center" textRotation="0" indent="0" justifyLastLine="0" shrinkToFit="0" readingOrder="0"/>
    </dxf>
    <dxf>
      <border>
        <bottom style="medium">
          <color indexed="64"/>
        </bottom>
      </border>
    </dxf>
    <dxf>
      <font>
        <strike val="0"/>
        <outline val="0"/>
        <shadow val="0"/>
        <u val="none"/>
        <vertAlign val="baseline"/>
        <color auto="1"/>
        <name val="Calibri"/>
        <family val="2"/>
        <scheme val="none"/>
      </font>
      <fill>
        <patternFill>
          <fgColor indexed="64"/>
          <bgColor theme="0"/>
        </patternFill>
      </fill>
      <alignment horizontal="center" vertical="center" textRotation="0" indent="0" justifyLastLine="0" shrinkToFit="0" readingOrder="0"/>
      <border diagonalUp="0" diagonalDown="0">
        <left/>
        <right/>
        <top/>
        <bottom/>
      </border>
    </dxf>
    <dxf>
      <font>
        <color auto="1"/>
      </font>
      <fill>
        <patternFill>
          <bgColor rgb="FFFFFF99"/>
        </patternFill>
      </fill>
    </dxf>
    <dxf>
      <fill>
        <patternFill>
          <bgColor rgb="FFFFFF99"/>
        </patternFill>
      </fill>
    </dxf>
    <dxf>
      <fill>
        <patternFill patternType="lightUp"/>
      </fill>
    </dxf>
    <dxf>
      <numFmt numFmtId="4" formatCode="#,##0.00"/>
      <fill>
        <patternFill>
          <fgColor indexed="64"/>
          <bgColor rgb="FFFFFF99"/>
        </patternFill>
      </fill>
      <border diagonalUp="0" diagonalDown="0">
        <right/>
        <top style="hair">
          <color indexed="64"/>
        </top>
        <bottom style="hair">
          <color indexed="64"/>
        </bottom>
      </border>
      <protection locked="0" hidden="0"/>
    </dxf>
    <dxf>
      <numFmt numFmtId="4" formatCode="#,##0.00"/>
      <fill>
        <patternFill>
          <fgColor indexed="64"/>
          <bgColor rgb="FFFFFF99"/>
        </patternFill>
      </fill>
      <border diagonalUp="0" diagonalDown="0">
        <left style="double">
          <color indexed="64"/>
        </left>
        <right style="double">
          <color indexed="64"/>
        </right>
        <top style="hair">
          <color indexed="64"/>
        </top>
        <bottom style="hair">
          <color indexed="64"/>
        </bottom>
      </border>
      <protection locked="0" hidden="0"/>
    </dxf>
    <dxf>
      <numFmt numFmtId="4" formatCode="#,##0.00"/>
      <fill>
        <patternFill>
          <fgColor indexed="64"/>
          <bgColor rgb="FFFFFF99"/>
        </patternFill>
      </fill>
      <border diagonalUp="0" diagonalDown="0">
        <left style="double">
          <color indexed="64"/>
        </left>
        <right style="double">
          <color indexed="64"/>
        </right>
        <top style="hair">
          <color indexed="64"/>
        </top>
        <bottom style="hair">
          <color indexed="64"/>
        </bottom>
      </border>
      <protection locked="0" hidden="0"/>
    </dxf>
    <dxf>
      <numFmt numFmtId="4" formatCode="#,##0.00"/>
      <fill>
        <patternFill patternType="lightUp">
          <fgColor indexed="64"/>
          <bgColor rgb="FFFFFF99"/>
        </patternFill>
      </fill>
      <border diagonalUp="0" diagonalDown="0">
        <left style="double">
          <color indexed="64"/>
        </left>
        <right style="double">
          <color indexed="64"/>
        </right>
        <top style="hair">
          <color indexed="64"/>
        </top>
        <bottom style="hair">
          <color indexed="64"/>
        </bottom>
        <vertical/>
        <horizontal/>
      </border>
      <protection locked="0" hidden="0"/>
    </dxf>
    <dxf>
      <numFmt numFmtId="4" formatCode="#,##0.00"/>
      <fill>
        <patternFill>
          <fgColor indexed="64"/>
          <bgColor rgb="FFFFFF99"/>
        </patternFill>
      </fill>
      <border diagonalUp="0" diagonalDown="0">
        <left style="double">
          <color indexed="64"/>
        </left>
        <right style="double">
          <color indexed="64"/>
        </right>
        <top style="hair">
          <color indexed="64"/>
        </top>
        <bottom style="hair">
          <color indexed="64"/>
        </bottom>
      </border>
      <protection locked="0" hidden="0"/>
    </dxf>
    <dxf>
      <numFmt numFmtId="4" formatCode="#,##0.00"/>
      <fill>
        <patternFill patternType="lightUp">
          <fgColor indexed="64"/>
          <bgColor theme="0"/>
        </patternFill>
      </fill>
      <border diagonalUp="0" diagonalDown="0">
        <left style="double">
          <color indexed="64"/>
        </left>
        <right/>
        <top style="hair">
          <color indexed="64"/>
        </top>
        <bottom style="hair">
          <color indexed="64"/>
        </bottom>
        <vertical style="double">
          <color indexed="64"/>
        </vertical>
      </border>
      <protection locked="1" hidden="0"/>
    </dxf>
    <dxf>
      <numFmt numFmtId="4" formatCode="#,##0.00"/>
      <fill>
        <patternFill>
          <fgColor indexed="64"/>
          <bgColor rgb="FFFFFF99"/>
        </patternFill>
      </fill>
      <border diagonalUp="0" diagonalDown="0">
        <left style="hair">
          <color indexed="64"/>
        </left>
        <right style="double">
          <color indexed="64"/>
        </right>
        <top style="hair">
          <color indexed="64"/>
        </top>
        <bottom style="hair">
          <color indexed="64"/>
        </bottom>
        <vertical style="double">
          <color indexed="64"/>
        </vertical>
      </border>
      <protection locked="1" hidden="0"/>
    </dxf>
    <dxf>
      <numFmt numFmtId="4" formatCode="#,##0.00"/>
      <fill>
        <patternFill patternType="lightUp">
          <fgColor indexed="64"/>
          <bgColor rgb="FFFFFF99"/>
        </patternFill>
      </fill>
      <border diagonalUp="0" diagonalDown="0" outline="0">
        <left style="hair">
          <color indexed="64"/>
        </left>
        <right style="hair">
          <color indexed="64"/>
        </right>
        <top style="hair">
          <color indexed="64"/>
        </top>
        <bottom style="hair">
          <color indexed="64"/>
        </bottom>
      </border>
      <protection locked="1" hidden="0"/>
    </dxf>
    <dxf>
      <numFmt numFmtId="4" formatCode="#,##0.00"/>
      <fill>
        <patternFill>
          <fgColor indexed="64"/>
          <bgColor rgb="FFFFFF99"/>
        </patternFill>
      </fill>
      <border diagonalUp="0" diagonalDown="0">
        <left style="hair">
          <color indexed="64"/>
        </left>
        <right style="hair">
          <color indexed="64"/>
        </right>
        <top style="hair">
          <color indexed="64"/>
        </top>
        <bottom style="hair">
          <color indexed="64"/>
        </bottom>
        <vertical style="hair">
          <color indexed="64"/>
        </vertical>
        <horizontal style="hair">
          <color indexed="64"/>
        </horizontal>
      </border>
      <protection locked="1" hidden="0"/>
    </dxf>
    <dxf>
      <numFmt numFmtId="4" formatCode="#,##0.00"/>
      <fill>
        <patternFill patternType="lightUp">
          <fgColor indexed="64"/>
          <bgColor rgb="FFFFFF99"/>
        </patternFill>
      </fill>
      <border diagonalUp="0" diagonalDown="0">
        <left style="hair">
          <color indexed="64"/>
        </left>
        <right style="hair">
          <color indexed="64"/>
        </right>
        <top style="hair">
          <color indexed="64"/>
        </top>
        <bottom style="hair">
          <color indexed="64"/>
        </bottom>
        <vertical style="hair">
          <color indexed="64"/>
        </vertical>
        <horizontal/>
      </border>
      <protection locked="1" hidden="0"/>
    </dxf>
    <dxf>
      <numFmt numFmtId="4" formatCode="#,##0.00"/>
      <fill>
        <patternFill>
          <fgColor indexed="64"/>
          <bgColor rgb="FFFFFF99"/>
        </patternFill>
      </fill>
      <border diagonalUp="0" diagonalDown="0">
        <left style="hair">
          <color indexed="64"/>
        </left>
        <right style="hair">
          <color indexed="64"/>
        </right>
        <top style="hair">
          <color indexed="64"/>
        </top>
        <bottom style="hair">
          <color indexed="64"/>
        </bottom>
        <vertical style="hair">
          <color indexed="64"/>
        </vertical>
        <horizontal style="hair">
          <color indexed="64"/>
        </horizontal>
      </border>
      <protection locked="1" hidden="0"/>
    </dxf>
    <dxf>
      <numFmt numFmtId="4" formatCode="#,##0.00"/>
      <fill>
        <patternFill patternType="solid">
          <fgColor indexed="64"/>
          <bgColor theme="0"/>
        </patternFill>
      </fill>
      <border diagonalUp="0" diagonalDown="0">
        <left style="double">
          <color indexed="64"/>
        </left>
        <right style="hair">
          <color indexed="64"/>
        </right>
        <top style="hair">
          <color indexed="64"/>
        </top>
        <bottom style="hair">
          <color indexed="64"/>
        </bottom>
        <vertical style="hair">
          <color indexed="64"/>
        </vertical>
      </border>
      <protection locked="1" hidden="0"/>
    </dxf>
    <dxf>
      <numFmt numFmtId="4" formatCode="#,##0.00"/>
      <fill>
        <patternFill>
          <fgColor indexed="64"/>
          <bgColor rgb="FFFFFF99"/>
        </patternFill>
      </fill>
      <border diagonalUp="0" diagonalDown="0">
        <left style="hair">
          <color indexed="64"/>
        </left>
        <right style="hair">
          <color indexed="64"/>
        </right>
        <top style="hair">
          <color indexed="64"/>
        </top>
        <bottom style="hair">
          <color indexed="64"/>
        </bottom>
        <vertical style="hair">
          <color indexed="64"/>
        </vertical>
      </border>
      <protection locked="0" hidden="0"/>
    </dxf>
    <dxf>
      <numFmt numFmtId="4" formatCode="#,##0.00"/>
      <fill>
        <patternFill patternType="solid">
          <fgColor indexed="64"/>
          <bgColor theme="0"/>
        </patternFill>
      </fill>
      <border diagonalUp="0" diagonalDown="0">
        <left style="double">
          <color indexed="64"/>
        </left>
        <right style="hair">
          <color indexed="64"/>
        </right>
        <top style="hair">
          <color indexed="64"/>
        </top>
        <bottom style="hair">
          <color indexed="64"/>
        </bottom>
        <vertical style="hair">
          <color indexed="64"/>
        </vertical>
      </border>
      <protection locked="1" hidden="0"/>
    </dxf>
    <dxf>
      <numFmt numFmtId="4" formatCode="#,##0.00"/>
      <fill>
        <patternFill>
          <fgColor indexed="64"/>
          <bgColor rgb="FFFFFF99"/>
        </patternFill>
      </fill>
      <border diagonalUp="0" diagonalDown="0">
        <left style="hair">
          <color indexed="64"/>
        </left>
        <right style="double">
          <color indexed="64"/>
        </right>
        <top style="hair">
          <color indexed="64"/>
        </top>
        <bottom style="hair">
          <color indexed="64"/>
        </bottom>
      </border>
      <protection locked="0" hidden="0"/>
    </dxf>
    <dxf>
      <numFmt numFmtId="4" formatCode="#,##0.00"/>
      <fill>
        <patternFill>
          <fgColor indexed="64"/>
          <bgColor rgb="FFFFFF99"/>
        </patternFill>
      </fill>
      <border diagonalUp="0" diagonalDown="0">
        <left style="hair">
          <color indexed="64"/>
        </left>
        <right style="hair">
          <color indexed="64"/>
        </right>
        <top style="hair">
          <color indexed="64"/>
        </top>
        <bottom style="hair">
          <color indexed="64"/>
        </bottom>
        <vertical style="hair">
          <color indexed="64"/>
        </vertical>
      </border>
      <protection locked="0" hidden="0"/>
    </dxf>
    <dxf>
      <numFmt numFmtId="4" formatCode="#,##0.00"/>
      <fill>
        <patternFill>
          <fgColor indexed="64"/>
          <bgColor rgb="FFFFFF99"/>
        </patternFill>
      </fill>
      <border diagonalUp="0" diagonalDown="0">
        <left style="hair">
          <color indexed="64"/>
        </left>
        <right style="hair">
          <color indexed="64"/>
        </right>
        <top style="hair">
          <color indexed="64"/>
        </top>
        <bottom style="hair">
          <color indexed="64"/>
        </bottom>
      </border>
      <protection locked="0" hidden="0"/>
    </dxf>
    <dxf>
      <numFmt numFmtId="4" formatCode="#,##0.00"/>
      <fill>
        <patternFill patternType="lightUp">
          <fgColor indexed="64"/>
          <bgColor theme="0"/>
        </patternFill>
      </fill>
      <border diagonalUp="0" diagonalDown="0">
        <left style="double">
          <color indexed="64"/>
        </left>
        <right style="hair">
          <color indexed="64"/>
        </right>
        <top style="hair">
          <color indexed="64"/>
        </top>
        <bottom style="hair">
          <color indexed="64"/>
        </bottom>
      </border>
      <protection locked="1" hidden="0"/>
    </dxf>
    <dxf>
      <numFmt numFmtId="4" formatCode="#,##0.00"/>
      <fill>
        <patternFill>
          <fgColor indexed="64"/>
          <bgColor rgb="FFFFFF99"/>
        </patternFill>
      </fill>
      <border diagonalUp="0" diagonalDown="0">
        <left style="hair">
          <color indexed="64"/>
        </left>
        <right style="double">
          <color indexed="64"/>
        </right>
        <top style="hair">
          <color indexed="64"/>
        </top>
        <bottom style="hair">
          <color indexed="64"/>
        </bottom>
      </border>
      <protection locked="0" hidden="0"/>
    </dxf>
    <dxf>
      <numFmt numFmtId="4" formatCode="#,##0.00"/>
      <fill>
        <patternFill>
          <fgColor indexed="64"/>
          <bgColor rgb="FFFFFF99"/>
        </patternFill>
      </fill>
      <border diagonalUp="0" diagonalDown="0">
        <left style="hair">
          <color indexed="64"/>
        </left>
        <right style="hair">
          <color indexed="64"/>
        </right>
        <top style="hair">
          <color indexed="64"/>
        </top>
        <bottom style="hair">
          <color indexed="64"/>
        </bottom>
        <vertical style="hair">
          <color indexed="64"/>
        </vertical>
      </border>
      <protection locked="0" hidden="0"/>
    </dxf>
    <dxf>
      <numFmt numFmtId="4" formatCode="#,##0.00"/>
      <fill>
        <patternFill patternType="solid">
          <fgColor indexed="64"/>
          <bgColor theme="0"/>
        </patternFill>
      </fill>
      <border diagonalUp="0" diagonalDown="0">
        <left style="double">
          <color indexed="64"/>
        </left>
        <right style="hair">
          <color indexed="64"/>
        </right>
        <top style="hair">
          <color indexed="64"/>
        </top>
        <bottom style="hair">
          <color indexed="64"/>
        </bottom>
        <vertical style="hair">
          <color indexed="64"/>
        </vertical>
        <horizontal/>
      </border>
      <protection locked="1" hidden="0"/>
    </dxf>
    <dxf>
      <numFmt numFmtId="4" formatCode="#,##0.00"/>
      <fill>
        <patternFill patternType="solid">
          <fgColor indexed="64"/>
          <bgColor theme="0"/>
        </patternFill>
      </fill>
      <border diagonalUp="0" diagonalDown="0">
        <left style="double">
          <color indexed="64"/>
        </left>
        <right/>
        <top style="hair">
          <color indexed="64"/>
        </top>
        <bottom style="hair">
          <color indexed="64"/>
        </bottom>
        <vertical/>
        <horizontal/>
      </border>
      <protection locked="1" hidden="0"/>
    </dxf>
    <dxf>
      <numFmt numFmtId="4" formatCode="#,##0.00"/>
      <fill>
        <patternFill>
          <fgColor indexed="64"/>
          <bgColor theme="0"/>
        </patternFill>
      </fill>
      <border diagonalUp="0" diagonalDown="0">
        <left/>
        <right style="double">
          <color indexed="64"/>
        </right>
        <top style="hair">
          <color indexed="64"/>
        </top>
        <bottom style="hair">
          <color indexed="64"/>
        </bottom>
      </border>
      <protection locked="1" hidden="0"/>
    </dxf>
    <dxf>
      <font>
        <strike val="0"/>
        <outline val="0"/>
        <shadow val="0"/>
        <u val="none"/>
        <vertAlign val="baseline"/>
        <sz val="11"/>
        <color theme="0"/>
        <name val="Calibri"/>
        <family val="2"/>
        <scheme val="minor"/>
      </font>
      <fill>
        <patternFill patternType="solid">
          <fgColor indexed="64"/>
          <bgColor theme="0"/>
        </patternFill>
      </fill>
      <border diagonalUp="0" diagonalDown="0">
        <left/>
        <right/>
        <top style="hair">
          <color indexed="64"/>
        </top>
        <bottom style="hair">
          <color indexed="64"/>
        </bottom>
      </border>
      <protection locked="1" hidden="0"/>
    </dxf>
    <dxf>
      <fill>
        <patternFill>
          <fgColor indexed="64"/>
          <bgColor theme="0"/>
        </patternFill>
      </fill>
      <border diagonalUp="0" diagonalDown="0">
        <left/>
        <right/>
        <top style="hair">
          <color indexed="64"/>
        </top>
        <bottom style="hair">
          <color indexed="64"/>
        </bottom>
      </border>
      <protection locked="1" hidden="0"/>
    </dxf>
    <dxf>
      <border diagonalUp="0" diagonalDown="0">
        <left style="medium">
          <color indexed="64"/>
        </left>
        <right style="medium">
          <color indexed="64"/>
        </right>
        <top style="medium">
          <color indexed="64"/>
        </top>
        <bottom style="medium">
          <color indexed="64"/>
        </bottom>
      </border>
    </dxf>
    <dxf>
      <fill>
        <patternFill>
          <fgColor indexed="64"/>
          <bgColor theme="0"/>
        </patternFill>
      </fill>
      <protection locked="1" hidden="0"/>
    </dxf>
    <dxf>
      <border>
        <bottom style="medium">
          <color indexed="64"/>
        </bottom>
      </border>
    </dxf>
    <dxf>
      <fill>
        <patternFill>
          <fgColor indexed="64"/>
          <bgColor theme="0"/>
        </patternFill>
      </fill>
      <alignment horizontal="center" vertical="center" textRotation="0" indent="0" justifyLastLine="0" shrinkToFit="0" readingOrder="0"/>
      <border diagonalUp="0" diagonalDown="0">
        <left/>
        <right/>
        <top/>
        <bottom/>
      </border>
      <protection locked="1" hidden="0"/>
    </dxf>
    <dxf>
      <numFmt numFmtId="4" formatCode="#,##0.00"/>
      <fill>
        <patternFill patternType="solid">
          <fgColor indexed="64"/>
          <bgColor theme="0"/>
        </patternFill>
      </fill>
      <alignment horizontal="right" vertical="center" textRotation="0" wrapText="0" indent="0" justifyLastLine="0" shrinkToFit="0" readingOrder="0"/>
      <border diagonalUp="0" diagonalDown="0">
        <left style="hair">
          <color indexed="64"/>
        </left>
        <right style="hair">
          <color indexed="64"/>
        </right>
        <top style="hair">
          <color indexed="64"/>
        </top>
        <bottom style="hair">
          <color indexed="64"/>
        </bottom>
      </border>
    </dxf>
    <dxf>
      <numFmt numFmtId="4" formatCode="#,##0.00"/>
      <fill>
        <patternFill patternType="solid">
          <fgColor indexed="64"/>
          <bgColor theme="0"/>
        </patternFill>
      </fill>
      <alignment horizontal="right" vertical="center" textRotation="0" wrapText="0" indent="0" justifyLastLine="0" shrinkToFit="0" readingOrder="0"/>
      <border diagonalUp="0" diagonalDown="0">
        <left style="double">
          <color indexed="64"/>
        </left>
        <right style="hair">
          <color indexed="64"/>
        </right>
        <top style="hair">
          <color indexed="64"/>
        </top>
        <bottom style="hair">
          <color indexed="64"/>
        </bottom>
      </border>
    </dxf>
    <dxf>
      <numFmt numFmtId="4" formatCode="#,##0.00"/>
      <fill>
        <patternFill patternType="solid">
          <fgColor indexed="64"/>
          <bgColor theme="0"/>
        </patternFill>
      </fill>
      <alignment horizontal="right" vertical="center" textRotation="0" wrapText="0" indent="0" justifyLastLine="0" shrinkToFit="0" readingOrder="0"/>
      <border diagonalUp="0" diagonalDown="0">
        <left style="hair">
          <color indexed="64"/>
        </left>
        <right style="hair">
          <color indexed="64"/>
        </right>
        <top style="hair">
          <color indexed="64"/>
        </top>
        <bottom style="hair">
          <color indexed="64"/>
        </bottom>
      </border>
    </dxf>
    <dxf>
      <numFmt numFmtId="4" formatCode="#,##0.00"/>
      <fill>
        <patternFill patternType="solid">
          <fgColor indexed="64"/>
          <bgColor theme="0"/>
        </patternFill>
      </fill>
      <alignment horizontal="right" vertical="center" textRotation="0" wrapText="0" indent="0" justifyLastLine="0" shrinkToFit="0" readingOrder="0"/>
      <border diagonalUp="0" diagonalDown="0">
        <left style="double">
          <color indexed="64"/>
        </left>
        <right style="hair">
          <color indexed="64"/>
        </right>
        <top style="hair">
          <color indexed="64"/>
        </top>
        <bottom style="hair">
          <color indexed="64"/>
        </bottom>
      </border>
    </dxf>
    <dxf>
      <numFmt numFmtId="4" formatCode="#,##0.00"/>
      <fill>
        <patternFill patternType="solid">
          <fgColor indexed="64"/>
          <bgColor theme="0"/>
        </patternFill>
      </fill>
      <alignment horizontal="center" vertical="center" textRotation="0" wrapText="0" indent="0" justifyLastLine="0" shrinkToFit="0" readingOrder="0"/>
      <border diagonalUp="0" diagonalDown="0">
        <left style="hair">
          <color indexed="64"/>
        </left>
        <right style="hair">
          <color indexed="64"/>
        </right>
        <top style="hair">
          <color indexed="64"/>
        </top>
        <bottom style="hair">
          <color indexed="64"/>
        </bottom>
      </border>
    </dxf>
    <dxf>
      <numFmt numFmtId="4" formatCode="#,##0.00"/>
      <fill>
        <patternFill patternType="solid">
          <fgColor indexed="64"/>
          <bgColor theme="0"/>
        </patternFill>
      </fill>
      <alignment horizontal="center" vertical="center" textRotation="0" wrapText="0" indent="0" justifyLastLine="0" shrinkToFit="0" readingOrder="0"/>
      <border diagonalUp="0" diagonalDown="0">
        <left style="double">
          <color indexed="64"/>
        </left>
        <right style="hair">
          <color indexed="64"/>
        </right>
        <top style="hair">
          <color indexed="64"/>
        </top>
        <bottom style="hair">
          <color indexed="64"/>
        </bottom>
      </border>
    </dxf>
    <dxf>
      <numFmt numFmtId="4" formatCode="#,##0.00"/>
      <fill>
        <patternFill patternType="solid">
          <fgColor indexed="64"/>
          <bgColor theme="0"/>
        </patternFill>
      </fill>
      <alignment horizontal="center" vertical="center" textRotation="0" wrapText="0" indent="0" justifyLastLine="0" shrinkToFit="0" readingOrder="0"/>
      <border diagonalUp="0" diagonalDown="0">
        <left style="hair">
          <color indexed="64"/>
        </left>
        <right style="double">
          <color indexed="64"/>
        </right>
        <top style="hair">
          <color indexed="64"/>
        </top>
        <bottom style="hair">
          <color indexed="64"/>
        </bottom>
      </border>
    </dxf>
    <dxf>
      <fill>
        <patternFill patternType="solid">
          <fgColor indexed="64"/>
          <bgColor theme="0"/>
        </patternFill>
      </fill>
      <alignment horizontal="left" vertical="center" textRotation="0" wrapText="0" indent="0" justifyLastLine="0" shrinkToFit="0" readingOrder="0"/>
      <border diagonalUp="0" diagonalDown="0">
        <left style="medium">
          <color indexed="64"/>
        </left>
        <right style="hair">
          <color indexed="64"/>
        </right>
        <top style="hair">
          <color indexed="64"/>
        </top>
        <bottom style="hair">
          <color indexed="64"/>
        </bottom>
        <vertical style="hair">
          <color indexed="64"/>
        </vertical>
        <horizontal style="hair">
          <color indexed="64"/>
        </horizontal>
      </border>
    </dxf>
    <dxf>
      <fill>
        <patternFill patternType="solid">
          <fgColor indexed="64"/>
          <bgColor theme="0"/>
        </patternFill>
      </fill>
      <alignment horizontal="left" vertical="center" textRotation="0" wrapText="0" indent="0" justifyLastLine="0" shrinkToFit="0" readingOrder="0"/>
    </dxf>
    <dxf>
      <border>
        <bottom style="medium">
          <color indexed="64"/>
        </bottom>
      </border>
    </dxf>
    <dxf>
      <fill>
        <patternFill patternType="solid">
          <fgColor indexed="64"/>
          <bgColor theme="0"/>
        </patternFill>
      </fill>
      <alignment horizontal="center" vertical="center" textRotation="0" wrapText="1" indent="0" justifyLastLine="0" shrinkToFit="0" readingOrder="0"/>
      <border diagonalUp="0" diagonalDown="0">
        <left/>
        <right/>
        <top/>
        <bottom/>
        <vertical/>
        <horizontal/>
      </border>
    </dxf>
    <dxf>
      <numFmt numFmtId="14" formatCode="0.00%"/>
      <fill>
        <patternFill patternType="solid">
          <fgColor indexed="64"/>
          <bgColor theme="0"/>
        </patternFill>
      </fill>
      <alignment horizontal="right" vertical="center" textRotation="0" wrapText="0" indent="0" justifyLastLine="0" shrinkToFit="0" readingOrder="0"/>
      <border diagonalUp="0" diagonalDown="0">
        <left style="hair">
          <color auto="1"/>
        </left>
        <right style="double">
          <color indexed="64"/>
        </right>
        <top style="hair">
          <color indexed="64"/>
        </top>
        <bottom style="hair">
          <color indexed="64"/>
        </bottom>
      </border>
    </dxf>
    <dxf>
      <numFmt numFmtId="14" formatCode="0.00%"/>
      <fill>
        <patternFill patternType="solid">
          <fgColor indexed="64"/>
          <bgColor theme="0"/>
        </patternFill>
      </fill>
      <alignment horizontal="right" vertical="center" textRotation="0" wrapText="0" indent="0" justifyLastLine="0" shrinkToFit="0" readingOrder="0"/>
      <border diagonalUp="0" diagonalDown="0">
        <left style="hair">
          <color auto="1"/>
        </left>
        <right style="hair">
          <color auto="1"/>
        </right>
        <top style="hair">
          <color indexed="64"/>
        </top>
        <bottom style="hair">
          <color indexed="64"/>
        </bottom>
      </border>
    </dxf>
    <dxf>
      <numFmt numFmtId="14" formatCode="0.00%"/>
      <fill>
        <patternFill patternType="solid">
          <fgColor indexed="64"/>
          <bgColor theme="0"/>
        </patternFill>
      </fill>
      <alignment horizontal="right" vertical="center" textRotation="0" wrapText="0" indent="0" justifyLastLine="0" shrinkToFit="0" readingOrder="0"/>
      <border diagonalUp="0" diagonalDown="0">
        <left style="hair">
          <color auto="1"/>
        </left>
        <right style="hair">
          <color auto="1"/>
        </right>
        <top style="hair">
          <color indexed="64"/>
        </top>
        <bottom style="hair">
          <color indexed="64"/>
        </bottom>
      </border>
    </dxf>
    <dxf>
      <numFmt numFmtId="14" formatCode="0.00%"/>
      <fill>
        <patternFill patternType="solid">
          <fgColor indexed="64"/>
          <bgColor theme="0"/>
        </patternFill>
      </fill>
      <alignment horizontal="right" vertical="center" textRotation="0" wrapText="0" indent="0" justifyLastLine="0" shrinkToFit="0" readingOrder="0"/>
      <border diagonalUp="0" diagonalDown="0">
        <left style="double">
          <color auto="1"/>
        </left>
        <right style="hair">
          <color auto="1"/>
        </right>
        <top style="hair">
          <color indexed="64"/>
        </top>
        <bottom style="hair">
          <color indexed="64"/>
        </bottom>
      </border>
    </dxf>
    <dxf>
      <numFmt numFmtId="4" formatCode="#,##0.00"/>
      <fill>
        <patternFill patternType="solid">
          <fgColor indexed="64"/>
          <bgColor rgb="FFFFFF99"/>
        </patternFill>
      </fill>
      <alignment horizontal="right" vertical="center" textRotation="0" wrapText="0" indent="0" justifyLastLine="0" shrinkToFit="0" readingOrder="0"/>
      <border diagonalUp="0" diagonalDown="0">
        <left style="hair">
          <color auto="1"/>
        </left>
        <right/>
        <top style="hair">
          <color indexed="64"/>
        </top>
        <bottom style="hair">
          <color indexed="64"/>
        </bottom>
      </border>
    </dxf>
    <dxf>
      <numFmt numFmtId="4" formatCode="#,##0.00"/>
      <fill>
        <patternFill patternType="solid">
          <fgColor indexed="64"/>
          <bgColor rgb="FFFFFF99"/>
        </patternFill>
      </fill>
      <alignment horizontal="right" vertical="center" textRotation="0" wrapText="0" indent="0" justifyLastLine="0" shrinkToFit="0" readingOrder="0"/>
      <border diagonalUp="0" diagonalDown="0">
        <left style="hair">
          <color auto="1"/>
        </left>
        <right style="hair">
          <color auto="1"/>
        </right>
        <top style="hair">
          <color indexed="64"/>
        </top>
        <bottom style="hair">
          <color indexed="64"/>
        </bottom>
      </border>
    </dxf>
    <dxf>
      <numFmt numFmtId="4" formatCode="#,##0.00"/>
      <fill>
        <patternFill patternType="solid">
          <fgColor indexed="64"/>
          <bgColor rgb="FFFFFF99"/>
        </patternFill>
      </fill>
      <alignment horizontal="right" vertical="center" textRotation="0" wrapText="0" indent="0" justifyLastLine="0" shrinkToFit="0" readingOrder="0"/>
      <border diagonalUp="0" diagonalDown="0">
        <left style="hair">
          <color auto="1"/>
        </left>
        <right style="hair">
          <color auto="1"/>
        </right>
        <top style="hair">
          <color indexed="64"/>
        </top>
        <bottom style="hair">
          <color indexed="64"/>
        </bottom>
      </border>
    </dxf>
    <dxf>
      <numFmt numFmtId="4" formatCode="#,##0.00"/>
      <fill>
        <patternFill patternType="solid">
          <fgColor indexed="64"/>
          <bgColor rgb="FFFFFF99"/>
        </patternFill>
      </fill>
      <alignment horizontal="right" vertical="center" textRotation="0" wrapText="0" indent="0" justifyLastLine="0" shrinkToFit="0" readingOrder="0"/>
      <border diagonalUp="0" diagonalDown="0">
        <left style="double">
          <color auto="1"/>
        </left>
        <right style="hair">
          <color auto="1"/>
        </right>
        <top style="hair">
          <color indexed="64"/>
        </top>
        <bottom style="hair">
          <color indexed="64"/>
        </bottom>
      </border>
    </dxf>
    <dxf>
      <fill>
        <patternFill patternType="solid">
          <fgColor indexed="64"/>
          <bgColor theme="0"/>
        </patternFill>
      </fill>
      <alignment horizontal="left" vertical="center" textRotation="0" wrapText="0" indent="0" justifyLastLine="0" shrinkToFit="0" readingOrder="0"/>
      <border diagonalUp="0" diagonalDown="0">
        <left style="hair">
          <color auto="1"/>
        </left>
        <right/>
        <top style="hair">
          <color indexed="64"/>
        </top>
        <bottom style="hair">
          <color indexed="64"/>
        </bottom>
        <vertical style="hair">
          <color auto="1"/>
        </vertical>
        <horizontal style="hair">
          <color indexed="64"/>
        </horizontal>
      </border>
    </dxf>
    <dxf>
      <fill>
        <patternFill patternType="solid">
          <fgColor indexed="64"/>
          <bgColor theme="0"/>
        </patternFill>
      </fill>
      <alignment horizontal="left" vertical="center" textRotation="0" wrapText="0" indent="0" justifyLastLine="0" shrinkToFit="0" readingOrder="0"/>
      <border diagonalUp="0" diagonalDown="0">
        <left style="hair">
          <color auto="1"/>
        </left>
        <right style="hair">
          <color auto="1"/>
        </right>
        <top style="hair">
          <color indexed="64"/>
        </top>
        <bottom style="hair">
          <color indexed="64"/>
        </bottom>
        <vertical style="hair">
          <color auto="1"/>
        </vertical>
        <horizontal style="hair">
          <color indexed="64"/>
        </horizontal>
      </border>
    </dxf>
    <dxf>
      <fill>
        <patternFill patternType="solid">
          <fgColor indexed="64"/>
          <bgColor theme="0"/>
        </patternFill>
      </fill>
      <alignment horizontal="left" vertical="center" textRotation="0" wrapText="0" indent="0" justifyLastLine="0" shrinkToFit="0" readingOrder="0"/>
      <border diagonalUp="0" diagonalDown="0">
        <left style="hair">
          <color auto="1"/>
        </left>
        <right style="hair">
          <color auto="1"/>
        </right>
        <top style="hair">
          <color indexed="64"/>
        </top>
        <bottom style="hair">
          <color indexed="64"/>
        </bottom>
        <vertical style="hair">
          <color auto="1"/>
        </vertical>
        <horizontal style="hair">
          <color indexed="64"/>
        </horizontal>
      </border>
    </dxf>
    <dxf>
      <fill>
        <patternFill patternType="solid">
          <fgColor indexed="64"/>
          <bgColor theme="0"/>
        </patternFill>
      </fill>
      <alignment horizontal="left" vertical="center" textRotation="0" wrapText="0" indent="0" justifyLastLine="0" shrinkToFit="0" readingOrder="0"/>
      <border diagonalUp="0" diagonalDown="0">
        <left style="double">
          <color indexed="64"/>
        </left>
        <right style="hair">
          <color auto="1"/>
        </right>
        <top style="hair">
          <color indexed="64"/>
        </top>
        <bottom style="hair">
          <color indexed="64"/>
        </bottom>
      </border>
    </dxf>
    <dxf>
      <alignment horizontal="center" vertical="center" textRotation="0" wrapText="0" indent="0" justifyLastLine="0" shrinkToFit="0" readingOrder="0"/>
      <border diagonalUp="0" diagonalDown="0">
        <left style="hair">
          <color indexed="64"/>
        </left>
        <right style="double">
          <color indexed="64"/>
        </right>
      </border>
    </dxf>
    <dxf>
      <fill>
        <patternFill patternType="solid">
          <fgColor indexed="64"/>
          <bgColor theme="0"/>
        </patternFill>
      </fill>
      <alignment horizontal="left" vertical="center" textRotation="0" wrapText="0" indent="0" justifyLastLine="0" shrinkToFit="0" readingOrder="0"/>
      <border diagonalUp="0" diagonalDown="0">
        <left style="medium">
          <color indexed="64"/>
        </left>
        <right style="hair">
          <color indexed="64"/>
        </right>
        <top style="hair">
          <color indexed="64"/>
        </top>
        <bottom style="hair">
          <color indexed="64"/>
        </bottom>
      </border>
    </dxf>
    <dxf>
      <fill>
        <patternFill patternType="solid">
          <fgColor indexed="64"/>
          <bgColor theme="0"/>
        </patternFill>
      </fill>
      <alignment horizontal="left" vertical="center" textRotation="0" wrapText="0" indent="0" justifyLastLine="0" shrinkToFit="0" readingOrder="0"/>
    </dxf>
    <dxf>
      <border>
        <bottom style="medium">
          <color auto="1"/>
        </bottom>
      </border>
    </dxf>
    <dxf>
      <fill>
        <patternFill patternType="solid">
          <fgColor indexed="64"/>
          <bgColor theme="0"/>
        </patternFill>
      </fill>
      <alignment horizontal="center" vertical="center" textRotation="0" wrapText="0" indent="0" justifyLastLine="0" shrinkToFit="0" readingOrder="0"/>
      <border diagonalUp="0" diagonalDown="0" outline="0">
        <left/>
        <right/>
        <top/>
        <bottom/>
      </border>
    </dxf>
    <dxf>
      <numFmt numFmtId="14" formatCode="0.00%"/>
      <fill>
        <patternFill patternType="solid">
          <fgColor indexed="64"/>
          <bgColor theme="0"/>
        </patternFill>
      </fill>
      <alignment horizontal="right" vertical="center" textRotation="0" wrapText="0" indent="0" justifyLastLine="0" shrinkToFit="0" readingOrder="0"/>
      <border diagonalUp="0" diagonalDown="0">
        <left style="hair">
          <color auto="1"/>
        </left>
        <right style="double">
          <color indexed="64"/>
        </right>
        <top style="hair">
          <color indexed="64"/>
        </top>
        <bottom style="hair">
          <color indexed="64"/>
        </bottom>
      </border>
    </dxf>
    <dxf>
      <numFmt numFmtId="14" formatCode="0.00%"/>
      <fill>
        <patternFill patternType="solid">
          <fgColor indexed="64"/>
          <bgColor theme="0"/>
        </patternFill>
      </fill>
      <alignment horizontal="right" vertical="center" textRotation="0" wrapText="0" indent="0" justifyLastLine="0" shrinkToFit="0" readingOrder="0"/>
      <border diagonalUp="0" diagonalDown="0">
        <left style="double">
          <color auto="1"/>
        </left>
        <right style="hair">
          <color auto="1"/>
        </right>
        <top style="hair">
          <color indexed="64"/>
        </top>
        <bottom style="hair">
          <color indexed="64"/>
        </bottom>
      </border>
    </dxf>
    <dxf>
      <numFmt numFmtId="4" formatCode="#,##0.00"/>
      <fill>
        <patternFill patternType="solid">
          <fgColor indexed="64"/>
          <bgColor rgb="FFFFFF99"/>
        </patternFill>
      </fill>
      <alignment horizontal="right" vertical="center" textRotation="0" wrapText="0" indent="0" justifyLastLine="0" shrinkToFit="0" readingOrder="0"/>
      <border diagonalUp="0" diagonalDown="0">
        <left style="hair">
          <color auto="1"/>
        </left>
        <right/>
        <top style="hair">
          <color indexed="64"/>
        </top>
        <bottom style="hair">
          <color indexed="64"/>
        </bottom>
      </border>
    </dxf>
    <dxf>
      <numFmt numFmtId="4" formatCode="#,##0.00"/>
      <fill>
        <patternFill patternType="solid">
          <fgColor indexed="64"/>
          <bgColor rgb="FFFFFF99"/>
        </patternFill>
      </fill>
      <alignment horizontal="right" vertical="center" textRotation="0" wrapText="0" indent="0" justifyLastLine="0" shrinkToFit="0" readingOrder="0"/>
      <border diagonalUp="0" diagonalDown="0">
        <left style="double">
          <color auto="1"/>
        </left>
        <right style="hair">
          <color auto="1"/>
        </right>
        <top style="hair">
          <color indexed="64"/>
        </top>
        <bottom style="hair">
          <color indexed="64"/>
        </bottom>
      </border>
    </dxf>
    <dxf>
      <fill>
        <patternFill patternType="solid">
          <fgColor indexed="64"/>
          <bgColor theme="0"/>
        </patternFill>
      </fill>
      <alignment horizontal="center" vertical="center" textRotation="0" wrapText="0" indent="0" justifyLastLine="0" shrinkToFit="0" readingOrder="0"/>
      <border diagonalUp="0" diagonalDown="0">
        <left style="hair">
          <color auto="1"/>
        </left>
        <right/>
        <top style="hair">
          <color indexed="64"/>
        </top>
        <bottom style="hair">
          <color indexed="64"/>
        </bottom>
      </border>
    </dxf>
    <dxf>
      <fill>
        <patternFill patternType="solid">
          <fgColor indexed="64"/>
          <bgColor theme="0"/>
        </patternFill>
      </fill>
      <alignment horizontal="center" vertical="center" textRotation="0" wrapText="0" indent="0" justifyLastLine="0" shrinkToFit="0" readingOrder="0"/>
      <border diagonalUp="0" diagonalDown="0">
        <left style="double">
          <color auto="1"/>
        </left>
        <right style="hair">
          <color auto="1"/>
        </right>
        <top style="hair">
          <color indexed="64"/>
        </top>
        <bottom style="hair">
          <color indexed="64"/>
        </bottom>
      </border>
    </dxf>
    <dxf>
      <fill>
        <patternFill patternType="solid">
          <fgColor indexed="64"/>
          <bgColor rgb="FFFF0000"/>
        </patternFill>
      </fill>
      <alignment horizontal="left" vertical="center" textRotation="0" wrapText="0" indent="0" justifyLastLine="0" shrinkToFit="0" readingOrder="0"/>
      <border diagonalUp="0" diagonalDown="0">
        <left style="hair">
          <color indexed="64"/>
        </left>
        <right style="double">
          <color indexed="64"/>
        </right>
        <top style="hair">
          <color indexed="64"/>
        </top>
        <bottom/>
        <vertical style="hair">
          <color indexed="64"/>
        </vertical>
        <horizontal/>
      </border>
    </dxf>
    <dxf>
      <fill>
        <patternFill patternType="solid">
          <fgColor indexed="64"/>
          <bgColor theme="0"/>
        </patternFill>
      </fill>
      <alignment horizontal="left" vertical="center" textRotation="0" wrapText="0" indent="0" justifyLastLine="0" shrinkToFit="0" readingOrder="0"/>
      <border diagonalUp="0" diagonalDown="0">
        <left style="medium">
          <color indexed="64"/>
        </left>
        <right style="hair">
          <color indexed="64"/>
        </right>
        <top style="hair">
          <color indexed="64"/>
        </top>
        <bottom style="hair">
          <color indexed="64"/>
        </bottom>
        <vertical style="hair">
          <color indexed="64"/>
        </vertical>
        <horizontal style="hair">
          <color indexed="64"/>
        </horizontal>
      </border>
    </dxf>
    <dxf>
      <fill>
        <patternFill patternType="solid">
          <fgColor indexed="64"/>
          <bgColor theme="0"/>
        </patternFill>
      </fill>
      <alignment horizontal="left" vertical="center" textRotation="0" wrapText="0" indent="0" justifyLastLine="0" shrinkToFit="0" readingOrder="0"/>
    </dxf>
    <dxf>
      <border>
        <bottom style="medium">
          <color auto="1"/>
        </bottom>
      </border>
    </dxf>
    <dxf>
      <fill>
        <patternFill patternType="solid">
          <fgColor indexed="64"/>
          <bgColor theme="0"/>
        </patternFill>
      </fill>
      <alignment horizontal="center" vertical="center" textRotation="0" wrapText="0" indent="0" justifyLastLine="0" shrinkToFit="0" readingOrder="0"/>
      <border diagonalUp="0" diagonalDown="0">
        <left/>
        <right/>
        <top/>
        <bottom/>
        <vertical/>
        <horizontal/>
      </border>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s>
  <tableStyles count="0" defaultTableStyle="TableStyleMedium2" defaultPivotStyle="PivotStyleLight16"/>
  <colors>
    <mruColors>
      <color rgb="FFFFFF99"/>
      <color rgb="FFF9FDCF"/>
      <color rgb="FFD8E4BC"/>
      <color rgb="FFD0C9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38"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xdr:col>
      <xdr:colOff>0</xdr:colOff>
      <xdr:row>125</xdr:row>
      <xdr:rowOff>0</xdr:rowOff>
    </xdr:from>
    <xdr:ext cx="962508" cy="183320"/>
    <mc:AlternateContent xmlns:mc="http://schemas.openxmlformats.org/markup-compatibility/2006" xmlns:a14="http://schemas.microsoft.com/office/drawing/2010/main">
      <mc:Choice Requires="a14">
        <xdr:sp macro="" textlink="">
          <xdr:nvSpPr>
            <xdr:cNvPr id="11" name="Tekstvak 10">
              <a:extLst>
                <a:ext uri="{FF2B5EF4-FFF2-40B4-BE49-F238E27FC236}">
                  <a16:creationId xmlns:a16="http://schemas.microsoft.com/office/drawing/2014/main" id="{203B4724-8A47-4196-B2EC-3E1FE1EE0E06}"/>
                </a:ext>
              </a:extLst>
            </xdr:cNvPr>
            <xdr:cNvSpPr txBox="1"/>
          </xdr:nvSpPr>
          <xdr:spPr>
            <a:xfrm>
              <a:off x="381000" y="15163800"/>
              <a:ext cx="962508" cy="1833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
                  </m:oMathParaPr>
                  <m:oMath xmlns:m="http://schemas.openxmlformats.org/officeDocument/2006/math">
                    <m:sSub>
                      <m:sSubPr>
                        <m:ctrlPr>
                          <a:rPr lang="nl-BE" sz="1100" i="1">
                            <a:latin typeface="Cambria Math" panose="02040503050406030204" pitchFamily="18" charset="0"/>
                          </a:rPr>
                        </m:ctrlPr>
                      </m:sSubPr>
                      <m:e>
                        <m:r>
                          <a:rPr lang="nl-BE" sz="1100" b="0" i="1">
                            <a:latin typeface="Cambria Math" panose="02040503050406030204" pitchFamily="18" charset="0"/>
                          </a:rPr>
                          <m:t>𝐵</m:t>
                        </m:r>
                      </m:e>
                      <m:sub>
                        <m:r>
                          <a:rPr lang="nl-BE" sz="1100" b="0" i="1">
                            <a:latin typeface="Cambria Math" panose="02040503050406030204" pitchFamily="18" charset="0"/>
                          </a:rPr>
                          <m:t>𝑁𝑒𝑡𝑔𝑒𝑏𝑟𝑢𝑖𝑘</m:t>
                        </m:r>
                        <m:r>
                          <a:rPr lang="nl-BE" sz="1100" b="0" i="1">
                            <a:latin typeface="Cambria Math" panose="02040503050406030204" pitchFamily="18" charset="0"/>
                          </a:rPr>
                          <m:t>,</m:t>
                        </m:r>
                        <m:r>
                          <a:rPr lang="nl-BE" sz="1100" b="0" i="1">
                            <a:latin typeface="Cambria Math" panose="02040503050406030204" pitchFamily="18" charset="0"/>
                          </a:rPr>
                          <m:t>𝑖</m:t>
                        </m:r>
                        <m:r>
                          <a:rPr lang="nl-BE" sz="1100" b="0" i="1">
                            <a:latin typeface="Cambria Math" panose="02040503050406030204" pitchFamily="18" charset="0"/>
                          </a:rPr>
                          <m:t>, </m:t>
                        </m:r>
                        <m:r>
                          <a:rPr lang="nl-BE" sz="1100" b="0" i="1">
                            <a:latin typeface="Cambria Math" panose="02040503050406030204" pitchFamily="18" charset="0"/>
                          </a:rPr>
                          <m:t>𝑗</m:t>
                        </m:r>
                        <m:r>
                          <a:rPr lang="nl-BE" sz="1100" b="0" i="1">
                            <a:latin typeface="Cambria Math" panose="02040503050406030204" pitchFamily="18" charset="0"/>
                          </a:rPr>
                          <m:t>, </m:t>
                        </m:r>
                        <m:r>
                          <a:rPr lang="nl-BE" sz="1100" b="0" i="1">
                            <a:latin typeface="Cambria Math" panose="02040503050406030204" pitchFamily="18" charset="0"/>
                          </a:rPr>
                          <m:t>𝑘</m:t>
                        </m:r>
                      </m:sub>
                    </m:sSub>
                    <m:r>
                      <a:rPr lang="nl-BE" sz="1100" b="0" i="1">
                        <a:latin typeface="Cambria Math" panose="02040503050406030204" pitchFamily="18" charset="0"/>
                      </a:rPr>
                      <m:t> </m:t>
                    </m:r>
                  </m:oMath>
                </m:oMathPara>
              </a14:m>
              <a:endParaRPr lang="nl-BE" sz="1100"/>
            </a:p>
          </xdr:txBody>
        </xdr:sp>
      </mc:Choice>
      <mc:Fallback xmlns="">
        <xdr:sp macro="" textlink="">
          <xdr:nvSpPr>
            <xdr:cNvPr id="11" name="Tekstvak 10">
              <a:extLst>
                <a:ext uri="{FF2B5EF4-FFF2-40B4-BE49-F238E27FC236}">
                  <a16:creationId xmlns:a16="http://schemas.microsoft.com/office/drawing/2014/main" id="{203B4724-8A47-4196-B2EC-3E1FE1EE0E06}"/>
                </a:ext>
              </a:extLst>
            </xdr:cNvPr>
            <xdr:cNvSpPr txBox="1"/>
          </xdr:nvSpPr>
          <xdr:spPr>
            <a:xfrm>
              <a:off x="381000" y="15163800"/>
              <a:ext cx="962508" cy="1833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nl-BE" sz="1100" b="0" i="0">
                  <a:latin typeface="Cambria Math" panose="02040503050406030204" pitchFamily="18" charset="0"/>
                </a:rPr>
                <a:t>𝐵_(𝑁𝑒𝑡𝑔𝑒𝑏𝑟𝑢𝑖𝑘,𝑖, 𝑗, 𝑘)  </a:t>
              </a:r>
              <a:endParaRPr lang="nl-BE" sz="1100"/>
            </a:p>
          </xdr:txBody>
        </xdr:sp>
      </mc:Fallback>
    </mc:AlternateContent>
    <xdr:clientData/>
  </xdr:oneCellAnchor>
  <xdr:oneCellAnchor>
    <xdr:from>
      <xdr:col>1</xdr:col>
      <xdr:colOff>0</xdr:colOff>
      <xdr:row>127</xdr:row>
      <xdr:rowOff>0</xdr:rowOff>
    </xdr:from>
    <xdr:ext cx="1341456" cy="183192"/>
    <mc:AlternateContent xmlns:mc="http://schemas.openxmlformats.org/markup-compatibility/2006" xmlns:a14="http://schemas.microsoft.com/office/drawing/2010/main">
      <mc:Choice Requires="a14">
        <xdr:sp macro="" textlink="">
          <xdr:nvSpPr>
            <xdr:cNvPr id="12" name="Tekstvak 11">
              <a:extLst>
                <a:ext uri="{FF2B5EF4-FFF2-40B4-BE49-F238E27FC236}">
                  <a16:creationId xmlns:a16="http://schemas.microsoft.com/office/drawing/2014/main" id="{038369F9-ABF8-4D86-B79E-F8264596FBFE}"/>
                </a:ext>
              </a:extLst>
            </xdr:cNvPr>
            <xdr:cNvSpPr txBox="1"/>
          </xdr:nvSpPr>
          <xdr:spPr>
            <a:xfrm>
              <a:off x="381000" y="15735300"/>
              <a:ext cx="1341456" cy="18319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
                  </m:oMathParaPr>
                  <m:oMath xmlns:m="http://schemas.openxmlformats.org/officeDocument/2006/math">
                    <m:sSub>
                      <m:sSubPr>
                        <m:ctrlPr>
                          <a:rPr lang="nl-BE" sz="1100" b="0" i="1">
                            <a:latin typeface="Cambria Math" panose="02040503050406030204" pitchFamily="18" charset="0"/>
                          </a:rPr>
                        </m:ctrlPr>
                      </m:sSubPr>
                      <m:e>
                        <m:r>
                          <a:rPr lang="nl-BE" sz="1100" b="0" i="1">
                            <a:latin typeface="Cambria Math" panose="02040503050406030204" pitchFamily="18" charset="0"/>
                          </a:rPr>
                          <m:t>𝑇</m:t>
                        </m:r>
                      </m:e>
                      <m:sub>
                        <m:r>
                          <a:rPr lang="nl-BE" sz="1100" b="0" i="1">
                            <a:latin typeface="Cambria Math" panose="02040503050406030204" pitchFamily="18" charset="0"/>
                          </a:rPr>
                          <m:t>𝑇𝑉</m:t>
                        </m:r>
                        <m:r>
                          <a:rPr lang="nl-BE" sz="1100" b="0" i="1">
                            <a:latin typeface="Cambria Math" panose="02040503050406030204" pitchFamily="18" charset="0"/>
                          </a:rPr>
                          <m:t>,</m:t>
                        </m:r>
                        <m:r>
                          <a:rPr lang="nl-BE" sz="1100" b="0" i="1">
                            <a:latin typeface="Cambria Math" panose="02040503050406030204" pitchFamily="18" charset="0"/>
                          </a:rPr>
                          <m:t>𝑖</m:t>
                        </m:r>
                        <m:r>
                          <a:rPr lang="nl-BE" sz="1100" b="0" i="1">
                            <a:latin typeface="Cambria Math" panose="02040503050406030204" pitchFamily="18" charset="0"/>
                          </a:rPr>
                          <m:t>, </m:t>
                        </m:r>
                        <m:r>
                          <a:rPr lang="nl-BE" sz="1100" b="0" i="1">
                            <a:latin typeface="Cambria Math" panose="02040503050406030204" pitchFamily="18" charset="0"/>
                          </a:rPr>
                          <m:t>𝑗</m:t>
                        </m:r>
                        <m:r>
                          <a:rPr lang="nl-BE" sz="1100" b="0" i="1">
                            <a:latin typeface="Cambria Math" panose="02040503050406030204" pitchFamily="18" charset="0"/>
                          </a:rPr>
                          <m:t>, </m:t>
                        </m:r>
                        <m:r>
                          <a:rPr lang="nl-BE" sz="1100" b="0" i="1">
                            <a:latin typeface="Cambria Math" panose="02040503050406030204" pitchFamily="18" charset="0"/>
                          </a:rPr>
                          <m:t>𝑘</m:t>
                        </m:r>
                      </m:sub>
                    </m:sSub>
                    <m:r>
                      <a:rPr lang="nl-BE" sz="1100" b="0" i="1">
                        <a:latin typeface="Cambria Math" panose="02040503050406030204" pitchFamily="18" charset="0"/>
                      </a:rPr>
                      <m:t> </m:t>
                    </m:r>
                    <m:r>
                      <a:rPr lang="nl-BE" sz="1100" b="0" i="1">
                        <a:latin typeface="Cambria Math" panose="02040503050406030204" pitchFamily="18" charset="0"/>
                        <a:ea typeface="Cambria Math" panose="02040503050406030204" pitchFamily="18" charset="0"/>
                      </a:rPr>
                      <m:t>× </m:t>
                    </m:r>
                    <m:sSub>
                      <m:sSubPr>
                        <m:ctrlPr>
                          <a:rPr lang="nl-BE" sz="1100" b="0" i="1">
                            <a:latin typeface="Cambria Math" panose="02040503050406030204" pitchFamily="18" charset="0"/>
                            <a:ea typeface="Cambria Math" panose="02040503050406030204" pitchFamily="18" charset="0"/>
                          </a:rPr>
                        </m:ctrlPr>
                      </m:sSubPr>
                      <m:e>
                        <m:r>
                          <a:rPr lang="nl-BE" sz="1100" b="0" i="1">
                            <a:latin typeface="Cambria Math" panose="02040503050406030204" pitchFamily="18" charset="0"/>
                            <a:ea typeface="Cambria Math" panose="02040503050406030204" pitchFamily="18" charset="0"/>
                          </a:rPr>
                          <m:t>𝑘𝑉𝐴</m:t>
                        </m:r>
                      </m:e>
                      <m:sub>
                        <m:r>
                          <a:rPr lang="nl-BE" sz="1100" b="0" i="1">
                            <a:latin typeface="Cambria Math" panose="02040503050406030204" pitchFamily="18" charset="0"/>
                            <a:ea typeface="Cambria Math" panose="02040503050406030204" pitchFamily="18" charset="0"/>
                          </a:rPr>
                          <m:t>𝑇𝑉</m:t>
                        </m:r>
                        <m:r>
                          <a:rPr lang="nl-BE" sz="1100" b="0" i="1">
                            <a:latin typeface="Cambria Math" panose="02040503050406030204" pitchFamily="18" charset="0"/>
                            <a:ea typeface="Cambria Math" panose="02040503050406030204" pitchFamily="18" charset="0"/>
                          </a:rPr>
                          <m:t>,</m:t>
                        </m:r>
                        <m:r>
                          <a:rPr lang="nl-BE" sz="1100" b="0" i="1">
                            <a:latin typeface="Cambria Math" panose="02040503050406030204" pitchFamily="18" charset="0"/>
                            <a:ea typeface="Cambria Math" panose="02040503050406030204" pitchFamily="18" charset="0"/>
                          </a:rPr>
                          <m:t>𝑖</m:t>
                        </m:r>
                        <m:r>
                          <a:rPr lang="nl-BE" sz="1100" b="0" i="1">
                            <a:latin typeface="Cambria Math" panose="02040503050406030204" pitchFamily="18" charset="0"/>
                            <a:ea typeface="Cambria Math" panose="02040503050406030204" pitchFamily="18" charset="0"/>
                          </a:rPr>
                          <m:t>, </m:t>
                        </m:r>
                        <m:r>
                          <a:rPr lang="nl-BE" sz="1100" b="0" i="1">
                            <a:latin typeface="Cambria Math" panose="02040503050406030204" pitchFamily="18" charset="0"/>
                            <a:ea typeface="Cambria Math" panose="02040503050406030204" pitchFamily="18" charset="0"/>
                          </a:rPr>
                          <m:t>𝑗</m:t>
                        </m:r>
                        <m:r>
                          <a:rPr lang="nl-BE" sz="1100" b="0" i="1">
                            <a:latin typeface="Cambria Math" panose="02040503050406030204" pitchFamily="18" charset="0"/>
                            <a:ea typeface="Cambria Math" panose="02040503050406030204" pitchFamily="18" charset="0"/>
                          </a:rPr>
                          <m:t>, </m:t>
                        </m:r>
                        <m:r>
                          <a:rPr lang="nl-BE" sz="1100" b="0" i="1">
                            <a:latin typeface="Cambria Math" panose="02040503050406030204" pitchFamily="18" charset="0"/>
                            <a:ea typeface="Cambria Math" panose="02040503050406030204" pitchFamily="18" charset="0"/>
                          </a:rPr>
                          <m:t>𝑘</m:t>
                        </m:r>
                      </m:sub>
                    </m:sSub>
                    <m:r>
                      <a:rPr lang="nl-BE" sz="1100" b="0" i="1">
                        <a:latin typeface="Cambria Math" panose="02040503050406030204" pitchFamily="18" charset="0"/>
                      </a:rPr>
                      <m:t> </m:t>
                    </m:r>
                  </m:oMath>
                </m:oMathPara>
              </a14:m>
              <a:endParaRPr lang="nl-BE" sz="1100"/>
            </a:p>
          </xdr:txBody>
        </xdr:sp>
      </mc:Choice>
      <mc:Fallback xmlns="">
        <xdr:sp macro="" textlink="">
          <xdr:nvSpPr>
            <xdr:cNvPr id="12" name="Tekstvak 11">
              <a:extLst>
                <a:ext uri="{FF2B5EF4-FFF2-40B4-BE49-F238E27FC236}">
                  <a16:creationId xmlns:a16="http://schemas.microsoft.com/office/drawing/2014/main" id="{038369F9-ABF8-4D86-B79E-F8264596FBFE}"/>
                </a:ext>
              </a:extLst>
            </xdr:cNvPr>
            <xdr:cNvSpPr txBox="1"/>
          </xdr:nvSpPr>
          <xdr:spPr>
            <a:xfrm>
              <a:off x="381000" y="15735300"/>
              <a:ext cx="1341456" cy="18319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nl-BE" sz="1100" b="0" i="0">
                  <a:latin typeface="Cambria Math" panose="02040503050406030204" pitchFamily="18" charset="0"/>
                </a:rPr>
                <a:t>𝑇_(𝑇𝑉,𝑖, 𝑗, 𝑘)  </a:t>
              </a:r>
              <a:r>
                <a:rPr lang="nl-BE" sz="1100" b="0" i="0">
                  <a:latin typeface="Cambria Math" panose="02040503050406030204" pitchFamily="18" charset="0"/>
                  <a:ea typeface="Cambria Math" panose="02040503050406030204" pitchFamily="18" charset="0"/>
                </a:rPr>
                <a:t>× 〖𝑘𝑉𝐴〗_(𝑇𝑉,𝑖, 𝑗, 𝑘) </a:t>
              </a:r>
              <a:r>
                <a:rPr lang="nl-BE" sz="1100" b="0" i="0">
                  <a:latin typeface="Cambria Math" panose="02040503050406030204" pitchFamily="18" charset="0"/>
                </a:rPr>
                <a:t> </a:t>
              </a:r>
              <a:endParaRPr lang="nl-BE" sz="1100"/>
            </a:p>
          </xdr:txBody>
        </xdr:sp>
      </mc:Fallback>
    </mc:AlternateContent>
    <xdr:clientData/>
  </xdr:oneCellAnchor>
  <xdr:oneCellAnchor>
    <xdr:from>
      <xdr:col>1</xdr:col>
      <xdr:colOff>0</xdr:colOff>
      <xdr:row>129</xdr:row>
      <xdr:rowOff>0</xdr:rowOff>
    </xdr:from>
    <xdr:ext cx="1290418" cy="183192"/>
    <mc:AlternateContent xmlns:mc="http://schemas.openxmlformats.org/markup-compatibility/2006" xmlns:a14="http://schemas.microsoft.com/office/drawing/2010/main">
      <mc:Choice Requires="a14">
        <xdr:sp macro="" textlink="">
          <xdr:nvSpPr>
            <xdr:cNvPr id="13" name="Tekstvak 12">
              <a:extLst>
                <a:ext uri="{FF2B5EF4-FFF2-40B4-BE49-F238E27FC236}">
                  <a16:creationId xmlns:a16="http://schemas.microsoft.com/office/drawing/2014/main" id="{ACFC0FA6-B569-4EAF-9486-C5F0E1870AF9}"/>
                </a:ext>
              </a:extLst>
            </xdr:cNvPr>
            <xdr:cNvSpPr txBox="1"/>
          </xdr:nvSpPr>
          <xdr:spPr>
            <a:xfrm>
              <a:off x="381000" y="16497300"/>
              <a:ext cx="1290418" cy="18319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
                  </m:oMathParaPr>
                  <m:oMath xmlns:m="http://schemas.openxmlformats.org/officeDocument/2006/math">
                    <m:sSub>
                      <m:sSubPr>
                        <m:ctrlPr>
                          <a:rPr lang="nl-BE" sz="1100" b="0" i="1">
                            <a:latin typeface="Cambria Math" panose="02040503050406030204" pitchFamily="18" charset="0"/>
                            <a:ea typeface="Cambria Math" panose="02040503050406030204" pitchFamily="18" charset="0"/>
                          </a:rPr>
                        </m:ctrlPr>
                      </m:sSubPr>
                      <m:e>
                        <m:r>
                          <a:rPr lang="nl-BE" sz="1100" b="0" i="1">
                            <a:latin typeface="Cambria Math" panose="02040503050406030204" pitchFamily="18" charset="0"/>
                            <a:ea typeface="Cambria Math" panose="02040503050406030204" pitchFamily="18" charset="0"/>
                          </a:rPr>
                          <m:t>𝑇</m:t>
                        </m:r>
                      </m:e>
                      <m:sub>
                        <m:r>
                          <a:rPr lang="nl-BE" sz="1100" b="0" i="1">
                            <a:latin typeface="Cambria Math" panose="02040503050406030204" pitchFamily="18" charset="0"/>
                            <a:ea typeface="Cambria Math" panose="02040503050406030204" pitchFamily="18" charset="0"/>
                          </a:rPr>
                          <m:t>𝑀𝑃</m:t>
                        </m:r>
                        <m:r>
                          <a:rPr lang="nl-BE" sz="1100" b="0" i="1">
                            <a:latin typeface="Cambria Math" panose="02040503050406030204" pitchFamily="18" charset="0"/>
                            <a:ea typeface="Cambria Math" panose="02040503050406030204" pitchFamily="18" charset="0"/>
                          </a:rPr>
                          <m:t>,</m:t>
                        </m:r>
                        <m:r>
                          <a:rPr lang="nl-BE" sz="1100" b="0" i="1">
                            <a:latin typeface="Cambria Math" panose="02040503050406030204" pitchFamily="18" charset="0"/>
                            <a:ea typeface="Cambria Math" panose="02040503050406030204" pitchFamily="18" charset="0"/>
                          </a:rPr>
                          <m:t>𝑖</m:t>
                        </m:r>
                        <m:r>
                          <a:rPr lang="nl-BE" sz="1100" b="0" i="1">
                            <a:latin typeface="Cambria Math" panose="02040503050406030204" pitchFamily="18" charset="0"/>
                            <a:ea typeface="Cambria Math" panose="02040503050406030204" pitchFamily="18" charset="0"/>
                          </a:rPr>
                          <m:t>, </m:t>
                        </m:r>
                        <m:r>
                          <a:rPr lang="nl-BE" sz="1100" b="0" i="1">
                            <a:latin typeface="Cambria Math" panose="02040503050406030204" pitchFamily="18" charset="0"/>
                            <a:ea typeface="Cambria Math" panose="02040503050406030204" pitchFamily="18" charset="0"/>
                          </a:rPr>
                          <m:t>𝑗</m:t>
                        </m:r>
                        <m:r>
                          <a:rPr lang="nl-BE" sz="1100" b="0" i="1">
                            <a:latin typeface="Cambria Math" panose="02040503050406030204" pitchFamily="18" charset="0"/>
                            <a:ea typeface="Cambria Math" panose="02040503050406030204" pitchFamily="18" charset="0"/>
                          </a:rPr>
                          <m:t>, </m:t>
                        </m:r>
                        <m:r>
                          <a:rPr lang="nl-BE" sz="1100" b="0" i="1">
                            <a:latin typeface="Cambria Math" panose="02040503050406030204" pitchFamily="18" charset="0"/>
                            <a:ea typeface="Cambria Math" panose="02040503050406030204" pitchFamily="18" charset="0"/>
                          </a:rPr>
                          <m:t>𝑘</m:t>
                        </m:r>
                      </m:sub>
                    </m:sSub>
                    <m:r>
                      <a:rPr lang="nl-BE" sz="1100" b="0" i="1">
                        <a:latin typeface="Cambria Math" panose="02040503050406030204" pitchFamily="18" charset="0"/>
                        <a:ea typeface="Cambria Math" panose="02040503050406030204" pitchFamily="18" charset="0"/>
                      </a:rPr>
                      <m:t> × </m:t>
                    </m:r>
                    <m:sSub>
                      <m:sSubPr>
                        <m:ctrlPr>
                          <a:rPr lang="nl-BE" sz="1100" b="0" i="1">
                            <a:latin typeface="Cambria Math" panose="02040503050406030204" pitchFamily="18" charset="0"/>
                            <a:ea typeface="Cambria Math" panose="02040503050406030204" pitchFamily="18" charset="0"/>
                          </a:rPr>
                        </m:ctrlPr>
                      </m:sSubPr>
                      <m:e>
                        <m:r>
                          <a:rPr lang="nl-BE" sz="1100" b="0" i="1">
                            <a:latin typeface="Cambria Math" panose="02040503050406030204" pitchFamily="18" charset="0"/>
                            <a:ea typeface="Cambria Math" panose="02040503050406030204" pitchFamily="18" charset="0"/>
                          </a:rPr>
                          <m:t>𝑘𝑊</m:t>
                        </m:r>
                      </m:e>
                      <m:sub>
                        <m:r>
                          <a:rPr lang="nl-BE" sz="1100" b="0" i="1">
                            <a:latin typeface="Cambria Math" panose="02040503050406030204" pitchFamily="18" charset="0"/>
                            <a:ea typeface="Cambria Math" panose="02040503050406030204" pitchFamily="18" charset="0"/>
                          </a:rPr>
                          <m:t>𝑀𝑃</m:t>
                        </m:r>
                        <m:r>
                          <a:rPr lang="nl-BE" sz="1100" b="0" i="1">
                            <a:latin typeface="Cambria Math" panose="02040503050406030204" pitchFamily="18" charset="0"/>
                            <a:ea typeface="Cambria Math" panose="02040503050406030204" pitchFamily="18" charset="0"/>
                          </a:rPr>
                          <m:t>,</m:t>
                        </m:r>
                        <m:r>
                          <a:rPr lang="nl-BE" sz="1100" b="0" i="1">
                            <a:latin typeface="Cambria Math" panose="02040503050406030204" pitchFamily="18" charset="0"/>
                            <a:ea typeface="Cambria Math" panose="02040503050406030204" pitchFamily="18" charset="0"/>
                          </a:rPr>
                          <m:t>𝑖</m:t>
                        </m:r>
                        <m:r>
                          <a:rPr lang="nl-BE" sz="1100" b="0" i="1">
                            <a:latin typeface="Cambria Math" panose="02040503050406030204" pitchFamily="18" charset="0"/>
                            <a:ea typeface="Cambria Math" panose="02040503050406030204" pitchFamily="18" charset="0"/>
                          </a:rPr>
                          <m:t>, </m:t>
                        </m:r>
                        <m:r>
                          <a:rPr lang="nl-BE" sz="1100" b="0" i="1">
                            <a:latin typeface="Cambria Math" panose="02040503050406030204" pitchFamily="18" charset="0"/>
                            <a:ea typeface="Cambria Math" panose="02040503050406030204" pitchFamily="18" charset="0"/>
                          </a:rPr>
                          <m:t>𝑗</m:t>
                        </m:r>
                        <m:r>
                          <a:rPr lang="nl-BE" sz="1100" b="0" i="1">
                            <a:latin typeface="Cambria Math" panose="02040503050406030204" pitchFamily="18" charset="0"/>
                            <a:ea typeface="Cambria Math" panose="02040503050406030204" pitchFamily="18" charset="0"/>
                          </a:rPr>
                          <m:t>, </m:t>
                        </m:r>
                        <m:r>
                          <a:rPr lang="nl-BE" sz="1100" b="0" i="1">
                            <a:latin typeface="Cambria Math" panose="02040503050406030204" pitchFamily="18" charset="0"/>
                            <a:ea typeface="Cambria Math" panose="02040503050406030204" pitchFamily="18" charset="0"/>
                          </a:rPr>
                          <m:t>𝑘</m:t>
                        </m:r>
                      </m:sub>
                    </m:sSub>
                  </m:oMath>
                </m:oMathPara>
              </a14:m>
              <a:endParaRPr lang="nl-BE" sz="1100"/>
            </a:p>
          </xdr:txBody>
        </xdr:sp>
      </mc:Choice>
      <mc:Fallback xmlns="">
        <xdr:sp macro="" textlink="">
          <xdr:nvSpPr>
            <xdr:cNvPr id="13" name="Tekstvak 12">
              <a:extLst>
                <a:ext uri="{FF2B5EF4-FFF2-40B4-BE49-F238E27FC236}">
                  <a16:creationId xmlns:a16="http://schemas.microsoft.com/office/drawing/2014/main" id="{ACFC0FA6-B569-4EAF-9486-C5F0E1870AF9}"/>
                </a:ext>
              </a:extLst>
            </xdr:cNvPr>
            <xdr:cNvSpPr txBox="1"/>
          </xdr:nvSpPr>
          <xdr:spPr>
            <a:xfrm>
              <a:off x="381000" y="16497300"/>
              <a:ext cx="1290418" cy="18319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nl-BE" sz="1100" b="0" i="0">
                  <a:latin typeface="Cambria Math" panose="02040503050406030204" pitchFamily="18" charset="0"/>
                  <a:ea typeface="Cambria Math" panose="02040503050406030204" pitchFamily="18" charset="0"/>
                </a:rPr>
                <a:t>𝑇_(𝑀𝑃,𝑖, 𝑗, 𝑘)  × 〖𝑘𝑊〗_(𝑀𝑃,𝑖, 𝑗, 𝑘)</a:t>
              </a:r>
              <a:endParaRPr lang="nl-BE" sz="1100"/>
            </a:p>
          </xdr:txBody>
        </xdr:sp>
      </mc:Fallback>
    </mc:AlternateContent>
    <xdr:clientData/>
  </xdr:oneCellAnchor>
  <xdr:oneCellAnchor>
    <xdr:from>
      <xdr:col>1</xdr:col>
      <xdr:colOff>0</xdr:colOff>
      <xdr:row>115</xdr:row>
      <xdr:rowOff>0</xdr:rowOff>
    </xdr:from>
    <xdr:ext cx="4962256" cy="374013"/>
    <mc:AlternateContent xmlns:mc="http://schemas.openxmlformats.org/markup-compatibility/2006" xmlns:a14="http://schemas.microsoft.com/office/drawing/2010/main">
      <mc:Choice Requires="a14">
        <xdr:sp macro="" textlink="">
          <xdr:nvSpPr>
            <xdr:cNvPr id="21" name="Tekstvak 20">
              <a:extLst>
                <a:ext uri="{FF2B5EF4-FFF2-40B4-BE49-F238E27FC236}">
                  <a16:creationId xmlns:a16="http://schemas.microsoft.com/office/drawing/2014/main" id="{9A18946A-F928-4195-8DDB-037353C4479D}"/>
                </a:ext>
              </a:extLst>
            </xdr:cNvPr>
            <xdr:cNvSpPr txBox="1"/>
          </xdr:nvSpPr>
          <xdr:spPr>
            <a:xfrm>
              <a:off x="381000" y="18392775"/>
              <a:ext cx="4962256" cy="374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
                  </m:oMathParaPr>
                  <m:oMath xmlns:m="http://schemas.openxmlformats.org/officeDocument/2006/math">
                    <m:sSub>
                      <m:sSubPr>
                        <m:ctrlPr>
                          <a:rPr lang="nl-BE" sz="1100" i="1">
                            <a:latin typeface="Cambria Math" panose="02040503050406030204" pitchFamily="18" charset="0"/>
                          </a:rPr>
                        </m:ctrlPr>
                      </m:sSubPr>
                      <m:e>
                        <m:r>
                          <a:rPr lang="nl-BE" sz="1100" b="0" i="1">
                            <a:latin typeface="Cambria Math" panose="02040503050406030204" pitchFamily="18" charset="0"/>
                          </a:rPr>
                          <m:t>𝑃𝑟𝑜𝑐𝑒𝑛𝑡𝑢𝑒𝑒𝑙</m:t>
                        </m:r>
                        <m:r>
                          <a:rPr lang="nl-BE" sz="1100" b="0" i="1">
                            <a:latin typeface="Cambria Math" panose="02040503050406030204" pitchFamily="18" charset="0"/>
                          </a:rPr>
                          <m:t> </m:t>
                        </m:r>
                        <m:r>
                          <a:rPr lang="nl-BE" sz="1100" b="0" i="1">
                            <a:latin typeface="Cambria Math" panose="02040503050406030204" pitchFamily="18" charset="0"/>
                          </a:rPr>
                          <m:t>𝑎𝑎𝑛𝑑𝑒𝑒𝑙</m:t>
                        </m:r>
                      </m:e>
                      <m:sub>
                        <m:r>
                          <a:rPr lang="nl-BE" sz="1100" b="0" i="1">
                            <a:latin typeface="Cambria Math" panose="02040503050406030204" pitchFamily="18" charset="0"/>
                          </a:rPr>
                          <m:t>𝑀𝑃</m:t>
                        </m:r>
                        <m:r>
                          <a:rPr lang="nl-BE" sz="1100" b="0" i="1">
                            <a:latin typeface="Cambria Math" panose="02040503050406030204" pitchFamily="18" charset="0"/>
                          </a:rPr>
                          <m:t>,</m:t>
                        </m:r>
                        <m:r>
                          <a:rPr lang="nl-BE" sz="1100" b="0" i="1">
                            <a:latin typeface="Cambria Math" panose="02040503050406030204" pitchFamily="18" charset="0"/>
                          </a:rPr>
                          <m:t>𝑖</m:t>
                        </m:r>
                        <m:r>
                          <a:rPr lang="nl-BE" sz="1100" b="0" i="1">
                            <a:latin typeface="Cambria Math" panose="02040503050406030204" pitchFamily="18" charset="0"/>
                          </a:rPr>
                          <m:t>, </m:t>
                        </m:r>
                        <m:r>
                          <a:rPr lang="nl-BE" sz="1100" b="0" i="1">
                            <a:latin typeface="Cambria Math" panose="02040503050406030204" pitchFamily="18" charset="0"/>
                          </a:rPr>
                          <m:t>𝑗</m:t>
                        </m:r>
                        <m:r>
                          <a:rPr lang="nl-BE" sz="1100" b="0" i="1">
                            <a:latin typeface="Cambria Math" panose="02040503050406030204" pitchFamily="18" charset="0"/>
                          </a:rPr>
                          <m:t>, </m:t>
                        </m:r>
                        <m:r>
                          <a:rPr lang="nl-BE" sz="1100" b="0" i="1">
                            <a:latin typeface="Cambria Math" panose="02040503050406030204" pitchFamily="18" charset="0"/>
                          </a:rPr>
                          <m:t>𝑘</m:t>
                        </m:r>
                      </m:sub>
                    </m:sSub>
                    <m:r>
                      <a:rPr lang="nl-BE" sz="1100" b="0" i="1">
                        <a:latin typeface="Cambria Math" panose="02040503050406030204" pitchFamily="18" charset="0"/>
                      </a:rPr>
                      <m:t>= </m:t>
                    </m:r>
                    <m:f>
                      <m:fPr>
                        <m:ctrlPr>
                          <a:rPr lang="nl-BE" sz="1100" b="0" i="1">
                            <a:latin typeface="Cambria Math" panose="02040503050406030204" pitchFamily="18" charset="0"/>
                          </a:rPr>
                        </m:ctrlPr>
                      </m:fPr>
                      <m:num>
                        <m:r>
                          <a:rPr lang="nl-BE" sz="1100" b="0" i="1">
                            <a:solidFill>
                              <a:schemeClr val="tx1"/>
                            </a:solidFill>
                            <a:effectLst/>
                            <a:latin typeface="Cambria Math" panose="02040503050406030204" pitchFamily="18" charset="0"/>
                            <a:ea typeface="+mn-ea"/>
                            <a:cs typeface="+mn-cs"/>
                          </a:rPr>
                          <m:t>∑ </m:t>
                        </m:r>
                        <m:sSub>
                          <m:sSubPr>
                            <m:ctrlPr>
                              <a:rPr lang="nl-BE" sz="1100" b="0" i="1">
                                <a:latin typeface="Cambria Math" panose="02040503050406030204" pitchFamily="18" charset="0"/>
                              </a:rPr>
                            </m:ctrlPr>
                          </m:sSubPr>
                          <m:e>
                            <m:r>
                              <a:rPr lang="nl-BE" sz="1100" b="0" i="1">
                                <a:latin typeface="Cambria Math" panose="02040503050406030204" pitchFamily="18" charset="0"/>
                              </a:rPr>
                              <m:t>𝑘𝑉𝐴</m:t>
                            </m:r>
                          </m:e>
                          <m:sub>
                            <m:r>
                              <a:rPr lang="nl-BE" sz="1100" b="0" i="1">
                                <a:latin typeface="Cambria Math" panose="02040503050406030204" pitchFamily="18" charset="0"/>
                              </a:rPr>
                              <m:t>𝑇𝑉</m:t>
                            </m:r>
                            <m:r>
                              <a:rPr lang="nl-BE" sz="1100" b="0" i="1">
                                <a:latin typeface="Cambria Math" panose="02040503050406030204" pitchFamily="18" charset="0"/>
                              </a:rPr>
                              <m:t>,</m:t>
                            </m:r>
                            <m:r>
                              <a:rPr lang="nl-BE" sz="1100" b="0" i="1">
                                <a:latin typeface="Cambria Math" panose="02040503050406030204" pitchFamily="18" charset="0"/>
                              </a:rPr>
                              <m:t>𝑖</m:t>
                            </m:r>
                            <m:r>
                              <a:rPr lang="nl-BE" sz="1100" b="0" i="1">
                                <a:latin typeface="Cambria Math" panose="02040503050406030204" pitchFamily="18" charset="0"/>
                              </a:rPr>
                              <m:t>, </m:t>
                            </m:r>
                            <m:r>
                              <a:rPr lang="nl-BE" sz="1100" b="0" i="1">
                                <a:latin typeface="Cambria Math" panose="02040503050406030204" pitchFamily="18" charset="0"/>
                              </a:rPr>
                              <m:t>𝑗</m:t>
                            </m:r>
                            <m:r>
                              <a:rPr lang="nl-BE" sz="1100" b="0" i="1">
                                <a:latin typeface="Cambria Math" panose="02040503050406030204" pitchFamily="18" charset="0"/>
                              </a:rPr>
                              <m:t>, </m:t>
                            </m:r>
                            <m:r>
                              <a:rPr lang="nl-BE" sz="1100" b="0" i="1">
                                <a:latin typeface="Cambria Math" panose="02040503050406030204" pitchFamily="18" charset="0"/>
                              </a:rPr>
                              <m:t>𝑘</m:t>
                            </m:r>
                          </m:sub>
                        </m:sSub>
                      </m:num>
                      <m:den>
                        <m:r>
                          <a:rPr lang="nl-BE" sz="1100" b="0" i="1">
                            <a:latin typeface="Cambria Math" panose="02040503050406030204" pitchFamily="18" charset="0"/>
                          </a:rPr>
                          <m:t>(</m:t>
                        </m:r>
                        <m:r>
                          <a:rPr lang="nl-BE" sz="1100" b="0" i="1">
                            <a:solidFill>
                              <a:schemeClr val="tx1"/>
                            </a:solidFill>
                            <a:effectLst/>
                            <a:latin typeface="Cambria Math" panose="02040503050406030204" pitchFamily="18" charset="0"/>
                            <a:ea typeface="+mn-ea"/>
                            <a:cs typeface="+mn-cs"/>
                          </a:rPr>
                          <m:t>2 × ∑ </m:t>
                        </m:r>
                        <m:sSub>
                          <m:sSubPr>
                            <m:ctrlPr>
                              <a:rPr lang="nl-BE" sz="1100" b="0" i="1">
                                <a:solidFill>
                                  <a:schemeClr val="tx1"/>
                                </a:solidFill>
                                <a:effectLst/>
                                <a:latin typeface="Cambria Math" panose="02040503050406030204" pitchFamily="18" charset="0"/>
                                <a:ea typeface="+mn-ea"/>
                                <a:cs typeface="+mn-cs"/>
                              </a:rPr>
                            </m:ctrlPr>
                          </m:sSubPr>
                          <m:e>
                            <m:r>
                              <a:rPr lang="nl-BE" sz="1100" b="0" i="1">
                                <a:solidFill>
                                  <a:schemeClr val="tx1"/>
                                </a:solidFill>
                                <a:effectLst/>
                                <a:latin typeface="Cambria Math" panose="02040503050406030204" pitchFamily="18" charset="0"/>
                                <a:ea typeface="+mn-ea"/>
                                <a:cs typeface="+mn-cs"/>
                              </a:rPr>
                              <m:t>𝑘𝑉𝐴</m:t>
                            </m:r>
                          </m:e>
                          <m:sub>
                            <m:r>
                              <a:rPr lang="nl-BE" sz="1100" b="0" i="1">
                                <a:solidFill>
                                  <a:schemeClr val="tx1"/>
                                </a:solidFill>
                                <a:effectLst/>
                                <a:latin typeface="Cambria Math" panose="02040503050406030204" pitchFamily="18" charset="0"/>
                                <a:ea typeface="+mn-ea"/>
                                <a:cs typeface="+mn-cs"/>
                              </a:rPr>
                              <m:t>𝑇𝑉</m:t>
                            </m:r>
                            <m:r>
                              <a:rPr lang="nl-BE" sz="1100" b="0" i="1">
                                <a:solidFill>
                                  <a:schemeClr val="tx1"/>
                                </a:solidFill>
                                <a:effectLst/>
                                <a:latin typeface="Cambria Math" panose="02040503050406030204" pitchFamily="18" charset="0"/>
                                <a:ea typeface="+mn-ea"/>
                                <a:cs typeface="+mn-cs"/>
                              </a:rPr>
                              <m:t>,</m:t>
                            </m:r>
                            <m:r>
                              <a:rPr lang="nl-BE" sz="1100" b="0" i="1">
                                <a:solidFill>
                                  <a:schemeClr val="tx1"/>
                                </a:solidFill>
                                <a:effectLst/>
                                <a:latin typeface="Cambria Math" panose="02040503050406030204" pitchFamily="18" charset="0"/>
                                <a:ea typeface="+mn-ea"/>
                                <a:cs typeface="+mn-cs"/>
                              </a:rPr>
                              <m:t>𝑖</m:t>
                            </m:r>
                            <m:r>
                              <a:rPr lang="nl-BE" sz="1100" b="0" i="1">
                                <a:solidFill>
                                  <a:schemeClr val="tx1"/>
                                </a:solidFill>
                                <a:effectLst/>
                                <a:latin typeface="Cambria Math" panose="02040503050406030204" pitchFamily="18" charset="0"/>
                                <a:ea typeface="+mn-ea"/>
                                <a:cs typeface="+mn-cs"/>
                              </a:rPr>
                              <m:t>, </m:t>
                            </m:r>
                            <m:r>
                              <a:rPr lang="nl-BE" sz="1100" b="0" i="1">
                                <a:solidFill>
                                  <a:schemeClr val="tx1"/>
                                </a:solidFill>
                                <a:effectLst/>
                                <a:latin typeface="Cambria Math" panose="02040503050406030204" pitchFamily="18" charset="0"/>
                                <a:ea typeface="+mn-ea"/>
                                <a:cs typeface="+mn-cs"/>
                              </a:rPr>
                              <m:t>𝑗</m:t>
                            </m:r>
                            <m:r>
                              <a:rPr lang="nl-BE" sz="1100" b="0" i="1">
                                <a:solidFill>
                                  <a:schemeClr val="tx1"/>
                                </a:solidFill>
                                <a:effectLst/>
                                <a:latin typeface="Cambria Math" panose="02040503050406030204" pitchFamily="18" charset="0"/>
                                <a:ea typeface="+mn-ea"/>
                                <a:cs typeface="+mn-cs"/>
                              </a:rPr>
                              <m:t>, </m:t>
                            </m:r>
                            <m:r>
                              <a:rPr lang="nl-BE" sz="1100" b="0" i="1">
                                <a:solidFill>
                                  <a:schemeClr val="tx1"/>
                                </a:solidFill>
                                <a:effectLst/>
                                <a:latin typeface="Cambria Math" panose="02040503050406030204" pitchFamily="18" charset="0"/>
                                <a:ea typeface="+mn-ea"/>
                                <a:cs typeface="+mn-cs"/>
                              </a:rPr>
                              <m:t>𝑘</m:t>
                            </m:r>
                          </m:sub>
                        </m:sSub>
                        <m:r>
                          <a:rPr lang="nl-BE" sz="1100" b="0" i="1">
                            <a:solidFill>
                              <a:schemeClr val="tx1"/>
                            </a:solidFill>
                            <a:effectLst/>
                            <a:latin typeface="Cambria Math" panose="02040503050406030204" pitchFamily="18" charset="0"/>
                            <a:ea typeface="+mn-ea"/>
                            <a:cs typeface="+mn-cs"/>
                          </a:rPr>
                          <m:t>+1,5 × ∑ </m:t>
                        </m:r>
                        <m:sSub>
                          <m:sSubPr>
                            <m:ctrlPr>
                              <a:rPr lang="nl-BE" sz="1100" b="0" i="1">
                                <a:solidFill>
                                  <a:schemeClr val="tx1"/>
                                </a:solidFill>
                                <a:effectLst/>
                                <a:latin typeface="Cambria Math" panose="02040503050406030204" pitchFamily="18" charset="0"/>
                                <a:ea typeface="+mn-ea"/>
                                <a:cs typeface="+mn-cs"/>
                              </a:rPr>
                            </m:ctrlPr>
                          </m:sSubPr>
                          <m:e>
                            <m:r>
                              <a:rPr lang="nl-BE" sz="1100" b="0" i="1">
                                <a:solidFill>
                                  <a:schemeClr val="tx1"/>
                                </a:solidFill>
                                <a:effectLst/>
                                <a:latin typeface="Cambria Math" panose="02040503050406030204" pitchFamily="18" charset="0"/>
                                <a:ea typeface="+mn-ea"/>
                                <a:cs typeface="+mn-cs"/>
                              </a:rPr>
                              <m:t>𝑘𝑊</m:t>
                            </m:r>
                          </m:e>
                          <m:sub>
                            <m:r>
                              <a:rPr lang="nl-BE" sz="1100" b="0" i="1">
                                <a:solidFill>
                                  <a:schemeClr val="tx1"/>
                                </a:solidFill>
                                <a:effectLst/>
                                <a:latin typeface="Cambria Math" panose="02040503050406030204" pitchFamily="18" charset="0"/>
                                <a:ea typeface="+mn-ea"/>
                                <a:cs typeface="+mn-cs"/>
                              </a:rPr>
                              <m:t>𝑀𝑃</m:t>
                            </m:r>
                            <m:r>
                              <a:rPr lang="nl-BE" sz="1100" b="0" i="1">
                                <a:solidFill>
                                  <a:schemeClr val="tx1"/>
                                </a:solidFill>
                                <a:effectLst/>
                                <a:latin typeface="Cambria Math" panose="02040503050406030204" pitchFamily="18" charset="0"/>
                                <a:ea typeface="+mn-ea"/>
                                <a:cs typeface="+mn-cs"/>
                              </a:rPr>
                              <m:t>−</m:t>
                            </m:r>
                            <m:r>
                              <a:rPr lang="nl-BE" sz="1100" b="0" i="1">
                                <a:solidFill>
                                  <a:schemeClr val="tx1"/>
                                </a:solidFill>
                                <a:effectLst/>
                                <a:latin typeface="Cambria Math" panose="02040503050406030204" pitchFamily="18" charset="0"/>
                                <a:ea typeface="+mn-ea"/>
                                <a:cs typeface="+mn-cs"/>
                              </a:rPr>
                              <m:t>𝑇𝑉</m:t>
                            </m:r>
                            <m:r>
                              <a:rPr lang="nl-BE" sz="1100" b="0" i="1">
                                <a:solidFill>
                                  <a:schemeClr val="tx1"/>
                                </a:solidFill>
                                <a:effectLst/>
                                <a:latin typeface="Cambria Math" panose="02040503050406030204" pitchFamily="18" charset="0"/>
                                <a:ea typeface="+mn-ea"/>
                                <a:cs typeface="+mn-cs"/>
                              </a:rPr>
                              <m:t>,</m:t>
                            </m:r>
                            <m:r>
                              <a:rPr lang="nl-BE" sz="1100" b="0" i="1">
                                <a:solidFill>
                                  <a:schemeClr val="tx1"/>
                                </a:solidFill>
                                <a:effectLst/>
                                <a:latin typeface="Cambria Math" panose="02040503050406030204" pitchFamily="18" charset="0"/>
                                <a:ea typeface="+mn-ea"/>
                                <a:cs typeface="+mn-cs"/>
                              </a:rPr>
                              <m:t>𝑖</m:t>
                            </m:r>
                            <m:r>
                              <a:rPr lang="nl-BE" sz="1100" b="0" i="1">
                                <a:solidFill>
                                  <a:schemeClr val="tx1"/>
                                </a:solidFill>
                                <a:effectLst/>
                                <a:latin typeface="Cambria Math" panose="02040503050406030204" pitchFamily="18" charset="0"/>
                                <a:ea typeface="+mn-ea"/>
                                <a:cs typeface="+mn-cs"/>
                              </a:rPr>
                              <m:t>, </m:t>
                            </m:r>
                            <m:r>
                              <a:rPr lang="nl-BE" sz="1100" b="0" i="1">
                                <a:solidFill>
                                  <a:schemeClr val="tx1"/>
                                </a:solidFill>
                                <a:effectLst/>
                                <a:latin typeface="Cambria Math" panose="02040503050406030204" pitchFamily="18" charset="0"/>
                                <a:ea typeface="+mn-ea"/>
                                <a:cs typeface="+mn-cs"/>
                              </a:rPr>
                              <m:t>𝑗</m:t>
                            </m:r>
                            <m:r>
                              <a:rPr lang="nl-BE" sz="1100" b="0" i="1">
                                <a:solidFill>
                                  <a:schemeClr val="tx1"/>
                                </a:solidFill>
                                <a:effectLst/>
                                <a:latin typeface="Cambria Math" panose="02040503050406030204" pitchFamily="18" charset="0"/>
                                <a:ea typeface="+mn-ea"/>
                                <a:cs typeface="+mn-cs"/>
                              </a:rPr>
                              <m:t>, </m:t>
                            </m:r>
                            <m:r>
                              <a:rPr lang="nl-BE" sz="1100" b="0" i="1">
                                <a:solidFill>
                                  <a:schemeClr val="tx1"/>
                                </a:solidFill>
                                <a:effectLst/>
                                <a:latin typeface="Cambria Math" panose="02040503050406030204" pitchFamily="18" charset="0"/>
                                <a:ea typeface="+mn-ea"/>
                                <a:cs typeface="+mn-cs"/>
                              </a:rPr>
                              <m:t>𝑘</m:t>
                            </m:r>
                          </m:sub>
                        </m:sSub>
                        <m:r>
                          <a:rPr lang="nl-BE" sz="1100" b="0" i="1">
                            <a:solidFill>
                              <a:schemeClr val="tx1"/>
                            </a:solidFill>
                            <a:effectLst/>
                            <a:latin typeface="Cambria Math" panose="02040503050406030204" pitchFamily="18" charset="0"/>
                            <a:ea typeface="+mn-ea"/>
                            <a:cs typeface="+mn-cs"/>
                          </a:rPr>
                          <m:t> ÷12)</m:t>
                        </m:r>
                      </m:den>
                    </m:f>
                  </m:oMath>
                </m:oMathPara>
              </a14:m>
              <a:endParaRPr lang="nl-BE" sz="1100"/>
            </a:p>
          </xdr:txBody>
        </xdr:sp>
      </mc:Choice>
      <mc:Fallback xmlns="">
        <xdr:sp macro="" textlink="">
          <xdr:nvSpPr>
            <xdr:cNvPr id="21" name="Tekstvak 20">
              <a:extLst>
                <a:ext uri="{FF2B5EF4-FFF2-40B4-BE49-F238E27FC236}">
                  <a16:creationId xmlns:a16="http://schemas.microsoft.com/office/drawing/2014/main" id="{9A18946A-F928-4195-8DDB-037353C4479D}"/>
                </a:ext>
              </a:extLst>
            </xdr:cNvPr>
            <xdr:cNvSpPr txBox="1"/>
          </xdr:nvSpPr>
          <xdr:spPr>
            <a:xfrm>
              <a:off x="381000" y="18392775"/>
              <a:ext cx="4962256" cy="374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nl-BE" sz="1100" i="0">
                  <a:latin typeface="Cambria Math" panose="02040503050406030204" pitchFamily="18" charset="0"/>
                </a:rPr>
                <a:t>〖</a:t>
              </a:r>
              <a:r>
                <a:rPr lang="nl-BE" sz="1100" b="0" i="0">
                  <a:latin typeface="Cambria Math" panose="02040503050406030204" pitchFamily="18" charset="0"/>
                </a:rPr>
                <a:t>𝑃𝑟𝑜𝑐𝑒𝑛𝑡𝑢𝑒𝑒𝑙 𝑎𝑎𝑛𝑑𝑒𝑒𝑙〗_(𝑀𝑃,𝑖, 𝑗, 𝑘)= </a:t>
              </a:r>
              <a:r>
                <a:rPr lang="nl-BE" sz="1100" b="0" i="0">
                  <a:solidFill>
                    <a:schemeClr val="tx1"/>
                  </a:solidFill>
                  <a:effectLst/>
                  <a:latin typeface="Cambria Math" panose="02040503050406030204" pitchFamily="18" charset="0"/>
                  <a:ea typeface="+mn-ea"/>
                  <a:cs typeface="+mn-cs"/>
                </a:rPr>
                <a:t> (∑ 〖</a:t>
              </a:r>
              <a:r>
                <a:rPr lang="nl-BE" sz="1100" b="0" i="0">
                  <a:latin typeface="Cambria Math" panose="02040503050406030204" pitchFamily="18" charset="0"/>
                </a:rPr>
                <a:t>𝑘𝑉𝐴〗_(𝑇𝑉,𝑖, 𝑗, 𝑘))/((</a:t>
              </a:r>
              <a:r>
                <a:rPr lang="nl-BE" sz="1100" b="0" i="0">
                  <a:solidFill>
                    <a:schemeClr val="tx1"/>
                  </a:solidFill>
                  <a:effectLst/>
                  <a:latin typeface="Cambria Math" panose="02040503050406030204" pitchFamily="18" charset="0"/>
                  <a:ea typeface="+mn-ea"/>
                  <a:cs typeface="+mn-cs"/>
                </a:rPr>
                <a:t>2 × ∑ 〖𝑘𝑉𝐴〗_(𝑇𝑉,𝑖, 𝑗, 𝑘)+1,5 × ∑ 〖𝑘𝑊〗_(𝑀𝑃−𝑇𝑉,𝑖, 𝑗, 𝑘)  ÷12))</a:t>
              </a:r>
              <a:endParaRPr lang="nl-BE" sz="1100"/>
            </a:p>
          </xdr:txBody>
        </xdr:sp>
      </mc:Fallback>
    </mc:AlternateContent>
    <xdr:clientData/>
  </xdr:oneCellAnchor>
  <xdr:oneCellAnchor>
    <xdr:from>
      <xdr:col>1</xdr:col>
      <xdr:colOff>0</xdr:colOff>
      <xdr:row>118</xdr:row>
      <xdr:rowOff>0</xdr:rowOff>
    </xdr:from>
    <xdr:ext cx="5170582" cy="374013"/>
    <mc:AlternateContent xmlns:mc="http://schemas.openxmlformats.org/markup-compatibility/2006" xmlns:a14="http://schemas.microsoft.com/office/drawing/2010/main">
      <mc:Choice Requires="a14">
        <xdr:sp macro="" textlink="">
          <xdr:nvSpPr>
            <xdr:cNvPr id="22" name="Tekstvak 21">
              <a:extLst>
                <a:ext uri="{FF2B5EF4-FFF2-40B4-BE49-F238E27FC236}">
                  <a16:creationId xmlns:a16="http://schemas.microsoft.com/office/drawing/2014/main" id="{7704602C-12ED-429E-9903-6C90A1AF54CB}"/>
                </a:ext>
              </a:extLst>
            </xdr:cNvPr>
            <xdr:cNvSpPr txBox="1"/>
          </xdr:nvSpPr>
          <xdr:spPr>
            <a:xfrm>
              <a:off x="381000" y="18964275"/>
              <a:ext cx="5170582" cy="374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
                  </m:oMathParaPr>
                  <m:oMath xmlns:m="http://schemas.openxmlformats.org/officeDocument/2006/math">
                    <m:sSub>
                      <m:sSubPr>
                        <m:ctrlPr>
                          <a:rPr lang="nl-BE" sz="1100" i="1">
                            <a:latin typeface="Cambria Math" panose="02040503050406030204" pitchFamily="18" charset="0"/>
                          </a:rPr>
                        </m:ctrlPr>
                      </m:sSubPr>
                      <m:e>
                        <m:r>
                          <a:rPr lang="nl-BE" sz="1100" b="0" i="1">
                            <a:latin typeface="Cambria Math" panose="02040503050406030204" pitchFamily="18" charset="0"/>
                          </a:rPr>
                          <m:t>𝑃𝑟𝑜𝑐𝑒𝑛𝑡𝑢𝑒𝑒𝑙</m:t>
                        </m:r>
                        <m:r>
                          <a:rPr lang="nl-BE" sz="1100" b="0" i="1">
                            <a:latin typeface="Cambria Math" panose="02040503050406030204" pitchFamily="18" charset="0"/>
                          </a:rPr>
                          <m:t> </m:t>
                        </m:r>
                        <m:r>
                          <a:rPr lang="nl-BE" sz="1100" b="0" i="1">
                            <a:latin typeface="Cambria Math" panose="02040503050406030204" pitchFamily="18" charset="0"/>
                          </a:rPr>
                          <m:t>𝑎𝑎𝑛𝑑𝑒𝑒𝑙</m:t>
                        </m:r>
                      </m:e>
                      <m:sub>
                        <m:r>
                          <a:rPr lang="nl-BE" sz="1100" b="0" i="1">
                            <a:latin typeface="Cambria Math" panose="02040503050406030204" pitchFamily="18" charset="0"/>
                          </a:rPr>
                          <m:t>𝑀𝑃</m:t>
                        </m:r>
                        <m:r>
                          <a:rPr lang="nl-BE" sz="1100" b="0" i="1">
                            <a:latin typeface="Cambria Math" panose="02040503050406030204" pitchFamily="18" charset="0"/>
                          </a:rPr>
                          <m:t>−</m:t>
                        </m:r>
                        <m:r>
                          <a:rPr lang="nl-BE" sz="1100" b="0" i="1">
                            <a:latin typeface="Cambria Math" panose="02040503050406030204" pitchFamily="18" charset="0"/>
                          </a:rPr>
                          <m:t>𝑇𝑉</m:t>
                        </m:r>
                        <m:r>
                          <a:rPr lang="nl-BE" sz="1100" b="0" i="1">
                            <a:latin typeface="Cambria Math" panose="02040503050406030204" pitchFamily="18" charset="0"/>
                          </a:rPr>
                          <m:t>,</m:t>
                        </m:r>
                        <m:r>
                          <a:rPr lang="nl-BE" sz="1100" b="0" i="1">
                            <a:latin typeface="Cambria Math" panose="02040503050406030204" pitchFamily="18" charset="0"/>
                          </a:rPr>
                          <m:t>𝑖</m:t>
                        </m:r>
                        <m:r>
                          <a:rPr lang="nl-BE" sz="1100" b="0" i="1">
                            <a:latin typeface="Cambria Math" panose="02040503050406030204" pitchFamily="18" charset="0"/>
                          </a:rPr>
                          <m:t>, </m:t>
                        </m:r>
                        <m:r>
                          <a:rPr lang="nl-BE" sz="1100" b="0" i="1">
                            <a:latin typeface="Cambria Math" panose="02040503050406030204" pitchFamily="18" charset="0"/>
                          </a:rPr>
                          <m:t>𝑗</m:t>
                        </m:r>
                        <m:r>
                          <a:rPr lang="nl-BE" sz="1100" b="0" i="1">
                            <a:latin typeface="Cambria Math" panose="02040503050406030204" pitchFamily="18" charset="0"/>
                          </a:rPr>
                          <m:t>, </m:t>
                        </m:r>
                        <m:r>
                          <a:rPr lang="nl-BE" sz="1100" b="0" i="1">
                            <a:latin typeface="Cambria Math" panose="02040503050406030204" pitchFamily="18" charset="0"/>
                          </a:rPr>
                          <m:t>𝑘</m:t>
                        </m:r>
                      </m:sub>
                    </m:sSub>
                    <m:r>
                      <a:rPr lang="nl-BE" sz="1100" b="0" i="1">
                        <a:latin typeface="Cambria Math" panose="02040503050406030204" pitchFamily="18" charset="0"/>
                      </a:rPr>
                      <m:t>= </m:t>
                    </m:r>
                    <m:f>
                      <m:fPr>
                        <m:ctrlPr>
                          <a:rPr lang="nl-BE" sz="1100" b="0" i="1">
                            <a:latin typeface="Cambria Math" panose="02040503050406030204" pitchFamily="18" charset="0"/>
                          </a:rPr>
                        </m:ctrlPr>
                      </m:fPr>
                      <m:num>
                        <m:r>
                          <a:rPr lang="nl-BE" sz="1100" b="0" i="1">
                            <a:solidFill>
                              <a:schemeClr val="tx1"/>
                            </a:solidFill>
                            <a:effectLst/>
                            <a:latin typeface="Cambria Math" panose="02040503050406030204" pitchFamily="18" charset="0"/>
                            <a:ea typeface="+mn-ea"/>
                            <a:cs typeface="+mn-cs"/>
                          </a:rPr>
                          <m:t>1,5 × ∑ </m:t>
                        </m:r>
                        <m:sSub>
                          <m:sSubPr>
                            <m:ctrlPr>
                              <a:rPr lang="nl-BE" sz="1100" b="0" i="1">
                                <a:solidFill>
                                  <a:schemeClr val="tx1"/>
                                </a:solidFill>
                                <a:effectLst/>
                                <a:latin typeface="Cambria Math" panose="02040503050406030204" pitchFamily="18" charset="0"/>
                                <a:ea typeface="+mn-ea"/>
                                <a:cs typeface="+mn-cs"/>
                              </a:rPr>
                            </m:ctrlPr>
                          </m:sSubPr>
                          <m:e>
                            <m:r>
                              <a:rPr lang="nl-BE" sz="1100" b="0" i="1">
                                <a:solidFill>
                                  <a:schemeClr val="tx1"/>
                                </a:solidFill>
                                <a:effectLst/>
                                <a:latin typeface="Cambria Math" panose="02040503050406030204" pitchFamily="18" charset="0"/>
                                <a:ea typeface="+mn-ea"/>
                                <a:cs typeface="+mn-cs"/>
                              </a:rPr>
                              <m:t>𝑘𝑊</m:t>
                            </m:r>
                          </m:e>
                          <m:sub>
                            <m:r>
                              <a:rPr lang="nl-BE" sz="1100" b="0" i="1">
                                <a:solidFill>
                                  <a:schemeClr val="tx1"/>
                                </a:solidFill>
                                <a:effectLst/>
                                <a:latin typeface="Cambria Math" panose="02040503050406030204" pitchFamily="18" charset="0"/>
                                <a:ea typeface="+mn-ea"/>
                                <a:cs typeface="+mn-cs"/>
                              </a:rPr>
                              <m:t>𝑀𝑃</m:t>
                            </m:r>
                            <m:r>
                              <a:rPr lang="nl-BE" sz="1100" b="0" i="1">
                                <a:solidFill>
                                  <a:schemeClr val="tx1"/>
                                </a:solidFill>
                                <a:effectLst/>
                                <a:latin typeface="Cambria Math" panose="02040503050406030204" pitchFamily="18" charset="0"/>
                                <a:ea typeface="+mn-ea"/>
                                <a:cs typeface="+mn-cs"/>
                              </a:rPr>
                              <m:t>−</m:t>
                            </m:r>
                            <m:r>
                              <a:rPr lang="nl-BE" sz="1100" b="0" i="1">
                                <a:solidFill>
                                  <a:schemeClr val="tx1"/>
                                </a:solidFill>
                                <a:effectLst/>
                                <a:latin typeface="Cambria Math" panose="02040503050406030204" pitchFamily="18" charset="0"/>
                                <a:ea typeface="+mn-ea"/>
                                <a:cs typeface="+mn-cs"/>
                              </a:rPr>
                              <m:t>𝑇𝑉</m:t>
                            </m:r>
                            <m:r>
                              <a:rPr lang="nl-BE" sz="1100" b="0" i="1">
                                <a:solidFill>
                                  <a:schemeClr val="tx1"/>
                                </a:solidFill>
                                <a:effectLst/>
                                <a:latin typeface="Cambria Math" panose="02040503050406030204" pitchFamily="18" charset="0"/>
                                <a:ea typeface="+mn-ea"/>
                                <a:cs typeface="+mn-cs"/>
                              </a:rPr>
                              <m:t>,</m:t>
                            </m:r>
                            <m:r>
                              <a:rPr lang="nl-BE" sz="1100" b="0" i="1">
                                <a:solidFill>
                                  <a:schemeClr val="tx1"/>
                                </a:solidFill>
                                <a:effectLst/>
                                <a:latin typeface="Cambria Math" panose="02040503050406030204" pitchFamily="18" charset="0"/>
                                <a:ea typeface="+mn-ea"/>
                                <a:cs typeface="+mn-cs"/>
                              </a:rPr>
                              <m:t>𝑖</m:t>
                            </m:r>
                            <m:r>
                              <a:rPr lang="nl-BE" sz="1100" b="0" i="1">
                                <a:solidFill>
                                  <a:schemeClr val="tx1"/>
                                </a:solidFill>
                                <a:effectLst/>
                                <a:latin typeface="Cambria Math" panose="02040503050406030204" pitchFamily="18" charset="0"/>
                                <a:ea typeface="+mn-ea"/>
                                <a:cs typeface="+mn-cs"/>
                              </a:rPr>
                              <m:t>, </m:t>
                            </m:r>
                            <m:r>
                              <a:rPr lang="nl-BE" sz="1100" b="0" i="1">
                                <a:solidFill>
                                  <a:schemeClr val="tx1"/>
                                </a:solidFill>
                                <a:effectLst/>
                                <a:latin typeface="Cambria Math" panose="02040503050406030204" pitchFamily="18" charset="0"/>
                                <a:ea typeface="+mn-ea"/>
                                <a:cs typeface="+mn-cs"/>
                              </a:rPr>
                              <m:t>𝑗</m:t>
                            </m:r>
                            <m:r>
                              <a:rPr lang="nl-BE" sz="1100" b="0" i="1">
                                <a:solidFill>
                                  <a:schemeClr val="tx1"/>
                                </a:solidFill>
                                <a:effectLst/>
                                <a:latin typeface="Cambria Math" panose="02040503050406030204" pitchFamily="18" charset="0"/>
                                <a:ea typeface="+mn-ea"/>
                                <a:cs typeface="+mn-cs"/>
                              </a:rPr>
                              <m:t>, </m:t>
                            </m:r>
                            <m:r>
                              <a:rPr lang="nl-BE" sz="1100" b="0" i="1">
                                <a:solidFill>
                                  <a:schemeClr val="tx1"/>
                                </a:solidFill>
                                <a:effectLst/>
                                <a:latin typeface="Cambria Math" panose="02040503050406030204" pitchFamily="18" charset="0"/>
                                <a:ea typeface="+mn-ea"/>
                                <a:cs typeface="+mn-cs"/>
                              </a:rPr>
                              <m:t>𝑘</m:t>
                            </m:r>
                          </m:sub>
                        </m:sSub>
                        <m:r>
                          <a:rPr lang="nl-BE" sz="1100" b="0" i="1">
                            <a:solidFill>
                              <a:schemeClr val="tx1"/>
                            </a:solidFill>
                            <a:effectLst/>
                            <a:latin typeface="Cambria Math" panose="02040503050406030204" pitchFamily="18" charset="0"/>
                            <a:ea typeface="+mn-ea"/>
                            <a:cs typeface="+mn-cs"/>
                          </a:rPr>
                          <m:t> ÷12</m:t>
                        </m:r>
                      </m:num>
                      <m:den>
                        <m:r>
                          <a:rPr lang="nl-BE" sz="1100" b="0" i="1">
                            <a:latin typeface="Cambria Math" panose="02040503050406030204" pitchFamily="18" charset="0"/>
                          </a:rPr>
                          <m:t>(</m:t>
                        </m:r>
                        <m:r>
                          <a:rPr lang="nl-BE" sz="1100" b="0" i="1">
                            <a:solidFill>
                              <a:schemeClr val="tx1"/>
                            </a:solidFill>
                            <a:effectLst/>
                            <a:latin typeface="Cambria Math" panose="02040503050406030204" pitchFamily="18" charset="0"/>
                            <a:ea typeface="+mn-ea"/>
                            <a:cs typeface="+mn-cs"/>
                          </a:rPr>
                          <m:t>2 × ∑ </m:t>
                        </m:r>
                        <m:sSub>
                          <m:sSubPr>
                            <m:ctrlPr>
                              <a:rPr lang="nl-BE" sz="1100" b="0" i="1">
                                <a:solidFill>
                                  <a:schemeClr val="tx1"/>
                                </a:solidFill>
                                <a:effectLst/>
                                <a:latin typeface="Cambria Math" panose="02040503050406030204" pitchFamily="18" charset="0"/>
                                <a:ea typeface="+mn-ea"/>
                                <a:cs typeface="+mn-cs"/>
                              </a:rPr>
                            </m:ctrlPr>
                          </m:sSubPr>
                          <m:e>
                            <m:r>
                              <a:rPr lang="nl-BE" sz="1100" b="0" i="1">
                                <a:solidFill>
                                  <a:schemeClr val="tx1"/>
                                </a:solidFill>
                                <a:effectLst/>
                                <a:latin typeface="Cambria Math" panose="02040503050406030204" pitchFamily="18" charset="0"/>
                                <a:ea typeface="+mn-ea"/>
                                <a:cs typeface="+mn-cs"/>
                              </a:rPr>
                              <m:t>𝑘𝑉𝐴</m:t>
                            </m:r>
                          </m:e>
                          <m:sub>
                            <m:r>
                              <a:rPr lang="nl-BE" sz="1100" b="0" i="1">
                                <a:solidFill>
                                  <a:schemeClr val="tx1"/>
                                </a:solidFill>
                                <a:effectLst/>
                                <a:latin typeface="Cambria Math" panose="02040503050406030204" pitchFamily="18" charset="0"/>
                                <a:ea typeface="+mn-ea"/>
                                <a:cs typeface="+mn-cs"/>
                              </a:rPr>
                              <m:t>𝑇𝑉</m:t>
                            </m:r>
                            <m:r>
                              <a:rPr lang="nl-BE" sz="1100" b="0" i="1">
                                <a:solidFill>
                                  <a:schemeClr val="tx1"/>
                                </a:solidFill>
                                <a:effectLst/>
                                <a:latin typeface="Cambria Math" panose="02040503050406030204" pitchFamily="18" charset="0"/>
                                <a:ea typeface="+mn-ea"/>
                                <a:cs typeface="+mn-cs"/>
                              </a:rPr>
                              <m:t>,</m:t>
                            </m:r>
                            <m:r>
                              <a:rPr lang="nl-BE" sz="1100" b="0" i="1">
                                <a:solidFill>
                                  <a:schemeClr val="tx1"/>
                                </a:solidFill>
                                <a:effectLst/>
                                <a:latin typeface="Cambria Math" panose="02040503050406030204" pitchFamily="18" charset="0"/>
                                <a:ea typeface="+mn-ea"/>
                                <a:cs typeface="+mn-cs"/>
                              </a:rPr>
                              <m:t>𝑖</m:t>
                            </m:r>
                            <m:r>
                              <a:rPr lang="nl-BE" sz="1100" b="0" i="1">
                                <a:solidFill>
                                  <a:schemeClr val="tx1"/>
                                </a:solidFill>
                                <a:effectLst/>
                                <a:latin typeface="Cambria Math" panose="02040503050406030204" pitchFamily="18" charset="0"/>
                                <a:ea typeface="+mn-ea"/>
                                <a:cs typeface="+mn-cs"/>
                              </a:rPr>
                              <m:t>, </m:t>
                            </m:r>
                            <m:r>
                              <a:rPr lang="nl-BE" sz="1100" b="0" i="1">
                                <a:solidFill>
                                  <a:schemeClr val="tx1"/>
                                </a:solidFill>
                                <a:effectLst/>
                                <a:latin typeface="Cambria Math" panose="02040503050406030204" pitchFamily="18" charset="0"/>
                                <a:ea typeface="+mn-ea"/>
                                <a:cs typeface="+mn-cs"/>
                              </a:rPr>
                              <m:t>𝑗</m:t>
                            </m:r>
                            <m:r>
                              <a:rPr lang="nl-BE" sz="1100" b="0" i="1">
                                <a:solidFill>
                                  <a:schemeClr val="tx1"/>
                                </a:solidFill>
                                <a:effectLst/>
                                <a:latin typeface="Cambria Math" panose="02040503050406030204" pitchFamily="18" charset="0"/>
                                <a:ea typeface="+mn-ea"/>
                                <a:cs typeface="+mn-cs"/>
                              </a:rPr>
                              <m:t>, </m:t>
                            </m:r>
                            <m:r>
                              <a:rPr lang="nl-BE" sz="1100" b="0" i="1">
                                <a:solidFill>
                                  <a:schemeClr val="tx1"/>
                                </a:solidFill>
                                <a:effectLst/>
                                <a:latin typeface="Cambria Math" panose="02040503050406030204" pitchFamily="18" charset="0"/>
                                <a:ea typeface="+mn-ea"/>
                                <a:cs typeface="+mn-cs"/>
                              </a:rPr>
                              <m:t>𝑘</m:t>
                            </m:r>
                          </m:sub>
                        </m:sSub>
                        <m:r>
                          <a:rPr lang="nl-BE" sz="1100" b="0" i="1">
                            <a:solidFill>
                              <a:schemeClr val="tx1"/>
                            </a:solidFill>
                            <a:effectLst/>
                            <a:latin typeface="Cambria Math" panose="02040503050406030204" pitchFamily="18" charset="0"/>
                            <a:ea typeface="+mn-ea"/>
                            <a:cs typeface="+mn-cs"/>
                          </a:rPr>
                          <m:t>+1,5 × ∑ </m:t>
                        </m:r>
                        <m:sSub>
                          <m:sSubPr>
                            <m:ctrlPr>
                              <a:rPr lang="nl-BE" sz="1100" b="0" i="1">
                                <a:solidFill>
                                  <a:schemeClr val="tx1"/>
                                </a:solidFill>
                                <a:effectLst/>
                                <a:latin typeface="Cambria Math" panose="02040503050406030204" pitchFamily="18" charset="0"/>
                                <a:ea typeface="+mn-ea"/>
                                <a:cs typeface="+mn-cs"/>
                              </a:rPr>
                            </m:ctrlPr>
                          </m:sSubPr>
                          <m:e>
                            <m:r>
                              <a:rPr lang="nl-BE" sz="1100" b="0" i="1">
                                <a:solidFill>
                                  <a:schemeClr val="tx1"/>
                                </a:solidFill>
                                <a:effectLst/>
                                <a:latin typeface="Cambria Math" panose="02040503050406030204" pitchFamily="18" charset="0"/>
                                <a:ea typeface="+mn-ea"/>
                                <a:cs typeface="+mn-cs"/>
                              </a:rPr>
                              <m:t>𝑘𝑊</m:t>
                            </m:r>
                          </m:e>
                          <m:sub>
                            <m:r>
                              <a:rPr lang="nl-BE" sz="1100" b="0" i="1">
                                <a:solidFill>
                                  <a:schemeClr val="tx1"/>
                                </a:solidFill>
                                <a:effectLst/>
                                <a:latin typeface="Cambria Math" panose="02040503050406030204" pitchFamily="18" charset="0"/>
                                <a:ea typeface="+mn-ea"/>
                                <a:cs typeface="+mn-cs"/>
                              </a:rPr>
                              <m:t>𝑀𝑃</m:t>
                            </m:r>
                            <m:r>
                              <a:rPr lang="nl-BE" sz="1100" b="0" i="1">
                                <a:solidFill>
                                  <a:schemeClr val="tx1"/>
                                </a:solidFill>
                                <a:effectLst/>
                                <a:latin typeface="Cambria Math" panose="02040503050406030204" pitchFamily="18" charset="0"/>
                                <a:ea typeface="+mn-ea"/>
                                <a:cs typeface="+mn-cs"/>
                              </a:rPr>
                              <m:t>−</m:t>
                            </m:r>
                            <m:r>
                              <a:rPr lang="nl-BE" sz="1100" b="0" i="1">
                                <a:solidFill>
                                  <a:schemeClr val="tx1"/>
                                </a:solidFill>
                                <a:effectLst/>
                                <a:latin typeface="Cambria Math" panose="02040503050406030204" pitchFamily="18" charset="0"/>
                                <a:ea typeface="+mn-ea"/>
                                <a:cs typeface="+mn-cs"/>
                              </a:rPr>
                              <m:t>𝑇𝑉</m:t>
                            </m:r>
                            <m:r>
                              <a:rPr lang="nl-BE" sz="1100" b="0" i="1">
                                <a:solidFill>
                                  <a:schemeClr val="tx1"/>
                                </a:solidFill>
                                <a:effectLst/>
                                <a:latin typeface="Cambria Math" panose="02040503050406030204" pitchFamily="18" charset="0"/>
                                <a:ea typeface="+mn-ea"/>
                                <a:cs typeface="+mn-cs"/>
                              </a:rPr>
                              <m:t>,</m:t>
                            </m:r>
                            <m:r>
                              <a:rPr lang="nl-BE" sz="1100" b="0" i="1">
                                <a:solidFill>
                                  <a:schemeClr val="tx1"/>
                                </a:solidFill>
                                <a:effectLst/>
                                <a:latin typeface="Cambria Math" panose="02040503050406030204" pitchFamily="18" charset="0"/>
                                <a:ea typeface="+mn-ea"/>
                                <a:cs typeface="+mn-cs"/>
                              </a:rPr>
                              <m:t>𝑖</m:t>
                            </m:r>
                            <m:r>
                              <a:rPr lang="nl-BE" sz="1100" b="0" i="1">
                                <a:solidFill>
                                  <a:schemeClr val="tx1"/>
                                </a:solidFill>
                                <a:effectLst/>
                                <a:latin typeface="Cambria Math" panose="02040503050406030204" pitchFamily="18" charset="0"/>
                                <a:ea typeface="+mn-ea"/>
                                <a:cs typeface="+mn-cs"/>
                              </a:rPr>
                              <m:t>, </m:t>
                            </m:r>
                            <m:r>
                              <a:rPr lang="nl-BE" sz="1100" b="0" i="1">
                                <a:solidFill>
                                  <a:schemeClr val="tx1"/>
                                </a:solidFill>
                                <a:effectLst/>
                                <a:latin typeface="Cambria Math" panose="02040503050406030204" pitchFamily="18" charset="0"/>
                                <a:ea typeface="+mn-ea"/>
                                <a:cs typeface="+mn-cs"/>
                              </a:rPr>
                              <m:t>𝑗</m:t>
                            </m:r>
                            <m:r>
                              <a:rPr lang="nl-BE" sz="1100" b="0" i="1">
                                <a:solidFill>
                                  <a:schemeClr val="tx1"/>
                                </a:solidFill>
                                <a:effectLst/>
                                <a:latin typeface="Cambria Math" panose="02040503050406030204" pitchFamily="18" charset="0"/>
                                <a:ea typeface="+mn-ea"/>
                                <a:cs typeface="+mn-cs"/>
                              </a:rPr>
                              <m:t>, </m:t>
                            </m:r>
                            <m:r>
                              <a:rPr lang="nl-BE" sz="1100" b="0" i="1">
                                <a:solidFill>
                                  <a:schemeClr val="tx1"/>
                                </a:solidFill>
                                <a:effectLst/>
                                <a:latin typeface="Cambria Math" panose="02040503050406030204" pitchFamily="18" charset="0"/>
                                <a:ea typeface="+mn-ea"/>
                                <a:cs typeface="+mn-cs"/>
                              </a:rPr>
                              <m:t>𝑘</m:t>
                            </m:r>
                          </m:sub>
                        </m:sSub>
                        <m:r>
                          <a:rPr lang="nl-BE" sz="1100" b="0" i="1">
                            <a:solidFill>
                              <a:schemeClr val="tx1"/>
                            </a:solidFill>
                            <a:effectLst/>
                            <a:latin typeface="Cambria Math" panose="02040503050406030204" pitchFamily="18" charset="0"/>
                            <a:ea typeface="+mn-ea"/>
                            <a:cs typeface="+mn-cs"/>
                          </a:rPr>
                          <m:t> ÷12)</m:t>
                        </m:r>
                      </m:den>
                    </m:f>
                  </m:oMath>
                </m:oMathPara>
              </a14:m>
              <a:endParaRPr lang="nl-BE" sz="1100"/>
            </a:p>
          </xdr:txBody>
        </xdr:sp>
      </mc:Choice>
      <mc:Fallback xmlns="">
        <xdr:sp macro="" textlink="">
          <xdr:nvSpPr>
            <xdr:cNvPr id="22" name="Tekstvak 21">
              <a:extLst>
                <a:ext uri="{FF2B5EF4-FFF2-40B4-BE49-F238E27FC236}">
                  <a16:creationId xmlns:a16="http://schemas.microsoft.com/office/drawing/2014/main" id="{7704602C-12ED-429E-9903-6C90A1AF54CB}"/>
                </a:ext>
              </a:extLst>
            </xdr:cNvPr>
            <xdr:cNvSpPr txBox="1"/>
          </xdr:nvSpPr>
          <xdr:spPr>
            <a:xfrm>
              <a:off x="381000" y="18964275"/>
              <a:ext cx="5170582" cy="374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nl-BE" sz="1100" i="0">
                  <a:latin typeface="Cambria Math" panose="02040503050406030204" pitchFamily="18" charset="0"/>
                </a:rPr>
                <a:t>〖</a:t>
              </a:r>
              <a:r>
                <a:rPr lang="nl-BE" sz="1100" b="0" i="0">
                  <a:latin typeface="Cambria Math" panose="02040503050406030204" pitchFamily="18" charset="0"/>
                </a:rPr>
                <a:t>𝑃𝑟𝑜𝑐𝑒𝑛𝑡𝑢𝑒𝑒𝑙 𝑎𝑎𝑛𝑑𝑒𝑒𝑙〗_(𝑀𝑃−𝑇𝑉,𝑖, 𝑗, 𝑘)= </a:t>
              </a:r>
              <a:r>
                <a:rPr lang="nl-BE" sz="1100" b="0" i="0">
                  <a:solidFill>
                    <a:schemeClr val="tx1"/>
                  </a:solidFill>
                  <a:effectLst/>
                  <a:latin typeface="Cambria Math" panose="02040503050406030204" pitchFamily="18" charset="0"/>
                  <a:ea typeface="+mn-ea"/>
                  <a:cs typeface="+mn-cs"/>
                </a:rPr>
                <a:t> (1,5 × ∑ 〖𝑘𝑊〗_(𝑀𝑃−𝑇𝑉,𝑖, 𝑗, 𝑘)  ÷12)/(</a:t>
              </a:r>
              <a:r>
                <a:rPr lang="nl-BE" sz="1100" b="0" i="0">
                  <a:latin typeface="Cambria Math" panose="02040503050406030204" pitchFamily="18" charset="0"/>
                </a:rPr>
                <a:t>(</a:t>
              </a:r>
              <a:r>
                <a:rPr lang="nl-BE" sz="1100" b="0" i="0">
                  <a:solidFill>
                    <a:schemeClr val="tx1"/>
                  </a:solidFill>
                  <a:effectLst/>
                  <a:latin typeface="Cambria Math" panose="02040503050406030204" pitchFamily="18" charset="0"/>
                  <a:ea typeface="+mn-ea"/>
                  <a:cs typeface="+mn-cs"/>
                </a:rPr>
                <a:t>2 × ∑ 〖𝑘𝑉𝐴〗_(𝑇𝑉,𝑖, 𝑗, 𝑘)+1,5 × ∑ 〖𝑘𝑊〗_(𝑀𝑃−𝑇𝑉,𝑖, 𝑗, 𝑘)  ÷12))</a:t>
              </a:r>
              <a:endParaRPr lang="nl-BE" sz="1100"/>
            </a:p>
          </xdr:txBody>
        </xdr:sp>
      </mc:Fallback>
    </mc:AlternateContent>
    <xdr:clientData/>
  </xdr:oneCellAnchor>
  <xdr:oneCellAnchor>
    <xdr:from>
      <xdr:col>1</xdr:col>
      <xdr:colOff>0</xdr:colOff>
      <xdr:row>131</xdr:row>
      <xdr:rowOff>0</xdr:rowOff>
    </xdr:from>
    <xdr:ext cx="1738105" cy="183192"/>
    <mc:AlternateContent xmlns:mc="http://schemas.openxmlformats.org/markup-compatibility/2006" xmlns:a14="http://schemas.microsoft.com/office/drawing/2010/main">
      <mc:Choice Requires="a14">
        <xdr:sp macro="" textlink="">
          <xdr:nvSpPr>
            <xdr:cNvPr id="23" name="Tekstvak 22">
              <a:extLst>
                <a:ext uri="{FF2B5EF4-FFF2-40B4-BE49-F238E27FC236}">
                  <a16:creationId xmlns:a16="http://schemas.microsoft.com/office/drawing/2014/main" id="{B4BE7F6B-D6B9-4CD8-A5C5-6C03F01B2C09}"/>
                </a:ext>
              </a:extLst>
            </xdr:cNvPr>
            <xdr:cNvSpPr txBox="1"/>
          </xdr:nvSpPr>
          <xdr:spPr>
            <a:xfrm>
              <a:off x="381000" y="17259300"/>
              <a:ext cx="1738105" cy="18319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
                  </m:oMathParaPr>
                  <m:oMath xmlns:m="http://schemas.openxmlformats.org/officeDocument/2006/math">
                    <m:sSub>
                      <m:sSubPr>
                        <m:ctrlPr>
                          <a:rPr lang="nl-BE" sz="1100" b="0" i="1">
                            <a:latin typeface="Cambria Math" panose="02040503050406030204" pitchFamily="18" charset="0"/>
                            <a:ea typeface="Cambria Math" panose="02040503050406030204" pitchFamily="18" charset="0"/>
                          </a:rPr>
                        </m:ctrlPr>
                      </m:sSubPr>
                      <m:e>
                        <m:r>
                          <a:rPr lang="nl-BE" sz="1100" b="0" i="1">
                            <a:latin typeface="Cambria Math" panose="02040503050406030204" pitchFamily="18" charset="0"/>
                            <a:ea typeface="Cambria Math" panose="02040503050406030204" pitchFamily="18" charset="0"/>
                          </a:rPr>
                          <m:t>𝑇</m:t>
                        </m:r>
                      </m:e>
                      <m:sub>
                        <m:r>
                          <a:rPr lang="nl-BE" sz="1100" b="0" i="1">
                            <a:latin typeface="Cambria Math" panose="02040503050406030204" pitchFamily="18" charset="0"/>
                            <a:ea typeface="Cambria Math" panose="02040503050406030204" pitchFamily="18" charset="0"/>
                          </a:rPr>
                          <m:t>𝑀𝑃</m:t>
                        </m:r>
                        <m:r>
                          <a:rPr lang="nl-BE" sz="1100" b="0" i="1">
                            <a:latin typeface="Cambria Math" panose="02040503050406030204" pitchFamily="18" charset="0"/>
                            <a:ea typeface="Cambria Math" panose="02040503050406030204" pitchFamily="18" charset="0"/>
                          </a:rPr>
                          <m:t>−</m:t>
                        </m:r>
                        <m:r>
                          <a:rPr lang="nl-BE" sz="1100" b="0" i="1">
                            <a:latin typeface="Cambria Math" panose="02040503050406030204" pitchFamily="18" charset="0"/>
                            <a:ea typeface="Cambria Math" panose="02040503050406030204" pitchFamily="18" charset="0"/>
                          </a:rPr>
                          <m:t>𝑇𝑉</m:t>
                        </m:r>
                        <m:r>
                          <a:rPr lang="nl-BE" sz="1100" b="0" i="1">
                            <a:latin typeface="Cambria Math" panose="02040503050406030204" pitchFamily="18" charset="0"/>
                            <a:ea typeface="Cambria Math" panose="02040503050406030204" pitchFamily="18" charset="0"/>
                          </a:rPr>
                          <m:t>,</m:t>
                        </m:r>
                        <m:r>
                          <a:rPr lang="nl-BE" sz="1100" b="0" i="1">
                            <a:latin typeface="Cambria Math" panose="02040503050406030204" pitchFamily="18" charset="0"/>
                            <a:ea typeface="Cambria Math" panose="02040503050406030204" pitchFamily="18" charset="0"/>
                          </a:rPr>
                          <m:t>𝑖</m:t>
                        </m:r>
                        <m:r>
                          <a:rPr lang="nl-BE" sz="1100" b="0" i="1">
                            <a:latin typeface="Cambria Math" panose="02040503050406030204" pitchFamily="18" charset="0"/>
                            <a:ea typeface="Cambria Math" panose="02040503050406030204" pitchFamily="18" charset="0"/>
                          </a:rPr>
                          <m:t>, </m:t>
                        </m:r>
                        <m:r>
                          <a:rPr lang="nl-BE" sz="1100" b="0" i="1">
                            <a:latin typeface="Cambria Math" panose="02040503050406030204" pitchFamily="18" charset="0"/>
                            <a:ea typeface="Cambria Math" panose="02040503050406030204" pitchFamily="18" charset="0"/>
                          </a:rPr>
                          <m:t>𝑗</m:t>
                        </m:r>
                        <m:r>
                          <a:rPr lang="nl-BE" sz="1100" b="0" i="1">
                            <a:latin typeface="Cambria Math" panose="02040503050406030204" pitchFamily="18" charset="0"/>
                            <a:ea typeface="Cambria Math" panose="02040503050406030204" pitchFamily="18" charset="0"/>
                          </a:rPr>
                          <m:t>, </m:t>
                        </m:r>
                        <m:r>
                          <a:rPr lang="nl-BE" sz="1100" b="0" i="1">
                            <a:latin typeface="Cambria Math" panose="02040503050406030204" pitchFamily="18" charset="0"/>
                            <a:ea typeface="Cambria Math" panose="02040503050406030204" pitchFamily="18" charset="0"/>
                          </a:rPr>
                          <m:t>𝑘</m:t>
                        </m:r>
                      </m:sub>
                    </m:sSub>
                    <m:r>
                      <a:rPr lang="nl-BE" sz="1100" b="0" i="1">
                        <a:latin typeface="Cambria Math" panose="02040503050406030204" pitchFamily="18" charset="0"/>
                        <a:ea typeface="Cambria Math" panose="02040503050406030204" pitchFamily="18" charset="0"/>
                      </a:rPr>
                      <m:t> × </m:t>
                    </m:r>
                    <m:sSub>
                      <m:sSubPr>
                        <m:ctrlPr>
                          <a:rPr lang="nl-BE" sz="1100" b="0" i="1">
                            <a:latin typeface="Cambria Math" panose="02040503050406030204" pitchFamily="18" charset="0"/>
                            <a:ea typeface="Cambria Math" panose="02040503050406030204" pitchFamily="18" charset="0"/>
                          </a:rPr>
                        </m:ctrlPr>
                      </m:sSubPr>
                      <m:e>
                        <m:r>
                          <a:rPr lang="nl-BE" sz="1100" b="0" i="1">
                            <a:latin typeface="Cambria Math" panose="02040503050406030204" pitchFamily="18" charset="0"/>
                            <a:ea typeface="Cambria Math" panose="02040503050406030204" pitchFamily="18" charset="0"/>
                          </a:rPr>
                          <m:t>𝑘𝑊</m:t>
                        </m:r>
                      </m:e>
                      <m:sub>
                        <m:r>
                          <a:rPr lang="nl-BE" sz="1100" b="0" i="1">
                            <a:latin typeface="Cambria Math" panose="02040503050406030204" pitchFamily="18" charset="0"/>
                            <a:ea typeface="Cambria Math" panose="02040503050406030204" pitchFamily="18" charset="0"/>
                          </a:rPr>
                          <m:t>𝑀𝑃</m:t>
                        </m:r>
                        <m:r>
                          <a:rPr lang="nl-BE" sz="1100" b="0" i="1">
                            <a:latin typeface="Cambria Math" panose="02040503050406030204" pitchFamily="18" charset="0"/>
                            <a:ea typeface="Cambria Math" panose="02040503050406030204" pitchFamily="18" charset="0"/>
                          </a:rPr>
                          <m:t>−</m:t>
                        </m:r>
                        <m:r>
                          <a:rPr lang="nl-BE" sz="1100" b="0" i="1">
                            <a:latin typeface="Cambria Math" panose="02040503050406030204" pitchFamily="18" charset="0"/>
                            <a:ea typeface="Cambria Math" panose="02040503050406030204" pitchFamily="18" charset="0"/>
                          </a:rPr>
                          <m:t>𝑇𝑉</m:t>
                        </m:r>
                        <m:r>
                          <a:rPr lang="nl-BE" sz="1100" b="0" i="1">
                            <a:latin typeface="Cambria Math" panose="02040503050406030204" pitchFamily="18" charset="0"/>
                            <a:ea typeface="Cambria Math" panose="02040503050406030204" pitchFamily="18" charset="0"/>
                          </a:rPr>
                          <m:t>,</m:t>
                        </m:r>
                        <m:r>
                          <a:rPr lang="nl-BE" sz="1100" b="0" i="1">
                            <a:latin typeface="Cambria Math" panose="02040503050406030204" pitchFamily="18" charset="0"/>
                            <a:ea typeface="Cambria Math" panose="02040503050406030204" pitchFamily="18" charset="0"/>
                          </a:rPr>
                          <m:t>𝑖</m:t>
                        </m:r>
                        <m:r>
                          <a:rPr lang="nl-BE" sz="1100" b="0" i="1">
                            <a:latin typeface="Cambria Math" panose="02040503050406030204" pitchFamily="18" charset="0"/>
                            <a:ea typeface="Cambria Math" panose="02040503050406030204" pitchFamily="18" charset="0"/>
                          </a:rPr>
                          <m:t>, </m:t>
                        </m:r>
                        <m:r>
                          <a:rPr lang="nl-BE" sz="1100" b="0" i="1">
                            <a:latin typeface="Cambria Math" panose="02040503050406030204" pitchFamily="18" charset="0"/>
                            <a:ea typeface="Cambria Math" panose="02040503050406030204" pitchFamily="18" charset="0"/>
                          </a:rPr>
                          <m:t>𝑗</m:t>
                        </m:r>
                        <m:r>
                          <a:rPr lang="nl-BE" sz="1100" b="0" i="1">
                            <a:latin typeface="Cambria Math" panose="02040503050406030204" pitchFamily="18" charset="0"/>
                            <a:ea typeface="Cambria Math" panose="02040503050406030204" pitchFamily="18" charset="0"/>
                          </a:rPr>
                          <m:t>, </m:t>
                        </m:r>
                        <m:r>
                          <a:rPr lang="nl-BE" sz="1100" b="0" i="1">
                            <a:latin typeface="Cambria Math" panose="02040503050406030204" pitchFamily="18" charset="0"/>
                            <a:ea typeface="Cambria Math" panose="02040503050406030204" pitchFamily="18" charset="0"/>
                          </a:rPr>
                          <m:t>𝑘</m:t>
                        </m:r>
                      </m:sub>
                    </m:sSub>
                    <m:r>
                      <a:rPr lang="nl-BE" sz="1100" b="0" i="1">
                        <a:latin typeface="Cambria Math" panose="02040503050406030204" pitchFamily="18" charset="0"/>
                      </a:rPr>
                      <m:t> </m:t>
                    </m:r>
                  </m:oMath>
                </m:oMathPara>
              </a14:m>
              <a:endParaRPr lang="nl-BE" sz="1100"/>
            </a:p>
          </xdr:txBody>
        </xdr:sp>
      </mc:Choice>
      <mc:Fallback xmlns="">
        <xdr:sp macro="" textlink="">
          <xdr:nvSpPr>
            <xdr:cNvPr id="23" name="Tekstvak 22">
              <a:extLst>
                <a:ext uri="{FF2B5EF4-FFF2-40B4-BE49-F238E27FC236}">
                  <a16:creationId xmlns:a16="http://schemas.microsoft.com/office/drawing/2014/main" id="{B4BE7F6B-D6B9-4CD8-A5C5-6C03F01B2C09}"/>
                </a:ext>
              </a:extLst>
            </xdr:cNvPr>
            <xdr:cNvSpPr txBox="1"/>
          </xdr:nvSpPr>
          <xdr:spPr>
            <a:xfrm>
              <a:off x="381000" y="17259300"/>
              <a:ext cx="1738105" cy="18319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nl-BE" sz="1100" b="0" i="0">
                  <a:latin typeface="Cambria Math" panose="02040503050406030204" pitchFamily="18" charset="0"/>
                  <a:ea typeface="Cambria Math" panose="02040503050406030204" pitchFamily="18" charset="0"/>
                </a:rPr>
                <a:t>𝑇_(𝑀𝑃−𝑇𝑉,𝑖, 𝑗, 𝑘)  × 〖𝑘𝑊〗_(𝑀𝑃−𝑇𝑉,𝑖, 𝑗, 𝑘) </a:t>
              </a:r>
              <a:r>
                <a:rPr lang="nl-BE" sz="1100" b="0" i="0">
                  <a:latin typeface="Cambria Math" panose="02040503050406030204" pitchFamily="18" charset="0"/>
                </a:rPr>
                <a:t> </a:t>
              </a:r>
              <a:endParaRPr lang="nl-BE" sz="1100"/>
            </a:p>
          </xdr:txBody>
        </xdr:sp>
      </mc:Fallback>
    </mc:AlternateContent>
    <xdr:clientData/>
  </xdr:oneCellAnchor>
  <xdr:twoCellAnchor>
    <xdr:from>
      <xdr:col>9</xdr:col>
      <xdr:colOff>0</xdr:colOff>
      <xdr:row>10</xdr:row>
      <xdr:rowOff>0</xdr:rowOff>
    </xdr:from>
    <xdr:to>
      <xdr:col>9</xdr:col>
      <xdr:colOff>270000</xdr:colOff>
      <xdr:row>16</xdr:row>
      <xdr:rowOff>11100</xdr:rowOff>
    </xdr:to>
    <xdr:sp macro="" textlink="">
      <xdr:nvSpPr>
        <xdr:cNvPr id="25" name="Rechteraccolade 24">
          <a:extLst>
            <a:ext uri="{FF2B5EF4-FFF2-40B4-BE49-F238E27FC236}">
              <a16:creationId xmlns:a16="http://schemas.microsoft.com/office/drawing/2014/main" id="{60DA1B0F-4642-4D06-A9F8-F4043BE1DFD1}"/>
            </a:ext>
          </a:extLst>
        </xdr:cNvPr>
        <xdr:cNvSpPr/>
      </xdr:nvSpPr>
      <xdr:spPr>
        <a:xfrm>
          <a:off x="10668000" y="2343150"/>
          <a:ext cx="270000" cy="1116000"/>
        </a:xfrm>
        <a:prstGeom prst="rightBrace">
          <a:avLst/>
        </a:prstGeom>
        <a:ln>
          <a:solidFill>
            <a:schemeClr val="bg1">
              <a:lumMod val="50000"/>
            </a:schemeClr>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nl-BE"/>
        </a:p>
      </xdr:txBody>
    </xdr:sp>
    <xdr:clientData/>
  </xdr:twoCellAnchor>
  <xdr:oneCellAnchor>
    <xdr:from>
      <xdr:col>1</xdr:col>
      <xdr:colOff>0</xdr:colOff>
      <xdr:row>96</xdr:row>
      <xdr:rowOff>0</xdr:rowOff>
    </xdr:from>
    <xdr:ext cx="6180923" cy="183320"/>
    <mc:AlternateContent xmlns:mc="http://schemas.openxmlformats.org/markup-compatibility/2006" xmlns:a14="http://schemas.microsoft.com/office/drawing/2010/main">
      <mc:Choice Requires="a14">
        <xdr:sp macro="" textlink="">
          <xdr:nvSpPr>
            <xdr:cNvPr id="27" name="Tekstvak 26">
              <a:extLst>
                <a:ext uri="{FF2B5EF4-FFF2-40B4-BE49-F238E27FC236}">
                  <a16:creationId xmlns:a16="http://schemas.microsoft.com/office/drawing/2014/main" id="{FA228206-66F6-4D2C-A595-ED41DDF541F7}"/>
                </a:ext>
              </a:extLst>
            </xdr:cNvPr>
            <xdr:cNvSpPr txBox="1"/>
          </xdr:nvSpPr>
          <xdr:spPr>
            <a:xfrm>
              <a:off x="381000" y="8877300"/>
              <a:ext cx="6180923" cy="1833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
                  </m:oMathParaPr>
                  <m:oMath xmlns:m="http://schemas.openxmlformats.org/officeDocument/2006/math">
                    <m:sSub>
                      <m:sSubPr>
                        <m:ctrlPr>
                          <a:rPr lang="nl-BE" sz="1100" i="1">
                            <a:latin typeface="Cambria Math" panose="02040503050406030204" pitchFamily="18" charset="0"/>
                          </a:rPr>
                        </m:ctrlPr>
                      </m:sSubPr>
                      <m:e>
                        <m:r>
                          <a:rPr lang="nl-BE" sz="1100" b="0" i="1">
                            <a:latin typeface="Cambria Math" panose="02040503050406030204" pitchFamily="18" charset="0"/>
                          </a:rPr>
                          <m:t>𝐵</m:t>
                        </m:r>
                      </m:e>
                      <m:sub>
                        <m:r>
                          <a:rPr lang="nl-BE" sz="1100" b="0" i="1">
                            <a:latin typeface="Cambria Math" panose="02040503050406030204" pitchFamily="18" charset="0"/>
                          </a:rPr>
                          <m:t>𝑁𝑒𝑡𝑔𝑒𝑏𝑟𝑢𝑖𝑘</m:t>
                        </m:r>
                        <m:r>
                          <a:rPr lang="nl-BE" sz="1100" b="0" i="1">
                            <a:latin typeface="Cambria Math" panose="02040503050406030204" pitchFamily="18" charset="0"/>
                          </a:rPr>
                          <m:t>,  </m:t>
                        </m:r>
                        <m:r>
                          <a:rPr lang="nl-BE" sz="1100" b="0" i="1">
                            <a:latin typeface="Cambria Math" panose="02040503050406030204" pitchFamily="18" charset="0"/>
                          </a:rPr>
                          <m:t>𝑖</m:t>
                        </m:r>
                        <m:r>
                          <a:rPr lang="nl-BE" sz="1100" b="0" i="1">
                            <a:latin typeface="Cambria Math" panose="02040503050406030204" pitchFamily="18" charset="0"/>
                          </a:rPr>
                          <m:t>, </m:t>
                        </m:r>
                        <m:r>
                          <a:rPr lang="nl-BE" sz="1100" b="0" i="1">
                            <a:latin typeface="Cambria Math" panose="02040503050406030204" pitchFamily="18" charset="0"/>
                          </a:rPr>
                          <m:t>𝑗</m:t>
                        </m:r>
                        <m:r>
                          <a:rPr lang="nl-BE" sz="1100" b="0" i="1">
                            <a:latin typeface="Cambria Math" panose="02040503050406030204" pitchFamily="18" charset="0"/>
                          </a:rPr>
                          <m:t>, </m:t>
                        </m:r>
                        <m:r>
                          <a:rPr lang="nl-BE" sz="1100" b="0" i="1">
                            <a:latin typeface="Cambria Math" panose="02040503050406030204" pitchFamily="18" charset="0"/>
                          </a:rPr>
                          <m:t>𝑘</m:t>
                        </m:r>
                      </m:sub>
                    </m:sSub>
                    <m:r>
                      <a:rPr lang="nl-BE" sz="1100" b="0" i="1">
                        <a:latin typeface="Cambria Math" panose="02040503050406030204" pitchFamily="18" charset="0"/>
                      </a:rPr>
                      <m:t>= </m:t>
                    </m:r>
                    <m:sSub>
                      <m:sSubPr>
                        <m:ctrlPr>
                          <a:rPr lang="nl-BE" sz="1100" b="0" i="1">
                            <a:latin typeface="Cambria Math" panose="02040503050406030204" pitchFamily="18" charset="0"/>
                          </a:rPr>
                        </m:ctrlPr>
                      </m:sSubPr>
                      <m:e>
                        <m:r>
                          <a:rPr lang="nl-BE" sz="1100" b="0" i="1">
                            <a:latin typeface="Cambria Math" panose="02040503050406030204" pitchFamily="18" charset="0"/>
                          </a:rPr>
                          <m:t>𝑇</m:t>
                        </m:r>
                      </m:e>
                      <m:sub>
                        <m:r>
                          <a:rPr lang="nl-BE" sz="1100" b="0" i="1">
                            <a:latin typeface="Cambria Math" panose="02040503050406030204" pitchFamily="18" charset="0"/>
                          </a:rPr>
                          <m:t>𝑇𝑉</m:t>
                        </m:r>
                        <m:r>
                          <a:rPr lang="nl-BE" sz="1100" b="0" i="1">
                            <a:latin typeface="Cambria Math" panose="02040503050406030204" pitchFamily="18" charset="0"/>
                          </a:rPr>
                          <m:t>,</m:t>
                        </m:r>
                        <m:r>
                          <a:rPr lang="nl-BE" sz="1100" b="0" i="1">
                            <a:latin typeface="Cambria Math" panose="02040503050406030204" pitchFamily="18" charset="0"/>
                          </a:rPr>
                          <m:t>𝑖</m:t>
                        </m:r>
                        <m:r>
                          <a:rPr lang="nl-BE" sz="1100" b="0" i="1">
                            <a:latin typeface="Cambria Math" panose="02040503050406030204" pitchFamily="18" charset="0"/>
                          </a:rPr>
                          <m:t>, </m:t>
                        </m:r>
                        <m:r>
                          <a:rPr lang="nl-BE" sz="1100" b="0" i="1">
                            <a:latin typeface="Cambria Math" panose="02040503050406030204" pitchFamily="18" charset="0"/>
                          </a:rPr>
                          <m:t>𝑗</m:t>
                        </m:r>
                        <m:r>
                          <a:rPr lang="nl-BE" sz="1100" b="0" i="1">
                            <a:latin typeface="Cambria Math" panose="02040503050406030204" pitchFamily="18" charset="0"/>
                          </a:rPr>
                          <m:t>, </m:t>
                        </m:r>
                        <m:r>
                          <a:rPr lang="nl-BE" sz="1100" b="0" i="1">
                            <a:latin typeface="Cambria Math" panose="02040503050406030204" pitchFamily="18" charset="0"/>
                          </a:rPr>
                          <m:t>𝑘</m:t>
                        </m:r>
                      </m:sub>
                    </m:sSub>
                    <m:r>
                      <a:rPr lang="nl-BE" sz="1100" b="0" i="1">
                        <a:latin typeface="Cambria Math" panose="02040503050406030204" pitchFamily="18" charset="0"/>
                      </a:rPr>
                      <m:t> </m:t>
                    </m:r>
                    <m:r>
                      <a:rPr lang="nl-BE" sz="1100" b="0" i="1">
                        <a:latin typeface="Cambria Math" panose="02040503050406030204" pitchFamily="18" charset="0"/>
                        <a:ea typeface="Cambria Math" panose="02040503050406030204" pitchFamily="18" charset="0"/>
                      </a:rPr>
                      <m:t>× </m:t>
                    </m:r>
                    <m:sSub>
                      <m:sSubPr>
                        <m:ctrlPr>
                          <a:rPr lang="nl-BE" sz="1100" b="0" i="1">
                            <a:latin typeface="Cambria Math" panose="02040503050406030204" pitchFamily="18" charset="0"/>
                            <a:ea typeface="Cambria Math" panose="02040503050406030204" pitchFamily="18" charset="0"/>
                          </a:rPr>
                        </m:ctrlPr>
                      </m:sSubPr>
                      <m:e>
                        <m:r>
                          <a:rPr lang="nl-BE" sz="1100" b="0" i="1">
                            <a:latin typeface="Cambria Math" panose="02040503050406030204" pitchFamily="18" charset="0"/>
                            <a:ea typeface="Cambria Math" panose="02040503050406030204" pitchFamily="18" charset="0"/>
                          </a:rPr>
                          <m:t>∑ </m:t>
                        </m:r>
                        <m:r>
                          <a:rPr lang="nl-BE" sz="1100" b="0" i="1">
                            <a:latin typeface="Cambria Math" panose="02040503050406030204" pitchFamily="18" charset="0"/>
                            <a:ea typeface="Cambria Math" panose="02040503050406030204" pitchFamily="18" charset="0"/>
                          </a:rPr>
                          <m:t>𝑘𝑉𝐴</m:t>
                        </m:r>
                      </m:e>
                      <m:sub>
                        <m:r>
                          <a:rPr lang="nl-BE" sz="1100" b="0" i="1">
                            <a:latin typeface="Cambria Math" panose="02040503050406030204" pitchFamily="18" charset="0"/>
                            <a:ea typeface="Cambria Math" panose="02040503050406030204" pitchFamily="18" charset="0"/>
                          </a:rPr>
                          <m:t>𝑇𝑉</m:t>
                        </m:r>
                        <m:r>
                          <a:rPr lang="nl-BE" sz="1100" b="0" i="1">
                            <a:latin typeface="Cambria Math" panose="02040503050406030204" pitchFamily="18" charset="0"/>
                            <a:ea typeface="Cambria Math" panose="02040503050406030204" pitchFamily="18" charset="0"/>
                          </a:rPr>
                          <m:t>,</m:t>
                        </m:r>
                        <m:r>
                          <a:rPr lang="nl-BE" sz="1100" b="0" i="1">
                            <a:latin typeface="Cambria Math" panose="02040503050406030204" pitchFamily="18" charset="0"/>
                            <a:ea typeface="Cambria Math" panose="02040503050406030204" pitchFamily="18" charset="0"/>
                          </a:rPr>
                          <m:t>𝑖</m:t>
                        </m:r>
                        <m:r>
                          <a:rPr lang="nl-BE" sz="1100" b="0" i="1">
                            <a:latin typeface="Cambria Math" panose="02040503050406030204" pitchFamily="18" charset="0"/>
                            <a:ea typeface="Cambria Math" panose="02040503050406030204" pitchFamily="18" charset="0"/>
                          </a:rPr>
                          <m:t>, </m:t>
                        </m:r>
                        <m:r>
                          <a:rPr lang="nl-BE" sz="1100" b="0" i="1">
                            <a:latin typeface="Cambria Math" panose="02040503050406030204" pitchFamily="18" charset="0"/>
                            <a:ea typeface="Cambria Math" panose="02040503050406030204" pitchFamily="18" charset="0"/>
                          </a:rPr>
                          <m:t>𝑗</m:t>
                        </m:r>
                        <m:r>
                          <a:rPr lang="nl-BE" sz="1100" b="0" i="1">
                            <a:latin typeface="Cambria Math" panose="02040503050406030204" pitchFamily="18" charset="0"/>
                            <a:ea typeface="Cambria Math" panose="02040503050406030204" pitchFamily="18" charset="0"/>
                          </a:rPr>
                          <m:t>, </m:t>
                        </m:r>
                        <m:r>
                          <a:rPr lang="nl-BE" sz="1100" b="0" i="1">
                            <a:latin typeface="Cambria Math" panose="02040503050406030204" pitchFamily="18" charset="0"/>
                            <a:ea typeface="Cambria Math" panose="02040503050406030204" pitchFamily="18" charset="0"/>
                          </a:rPr>
                          <m:t>𝑘</m:t>
                        </m:r>
                      </m:sub>
                    </m:sSub>
                    <m:r>
                      <a:rPr lang="nl-BE" sz="1100" b="0" i="1">
                        <a:latin typeface="Cambria Math" panose="02040503050406030204" pitchFamily="18" charset="0"/>
                        <a:ea typeface="Cambria Math" panose="02040503050406030204" pitchFamily="18" charset="0"/>
                      </a:rPr>
                      <m:t>+ </m:t>
                    </m:r>
                    <m:sSub>
                      <m:sSubPr>
                        <m:ctrlPr>
                          <a:rPr lang="nl-BE" sz="1100" b="0" i="1">
                            <a:latin typeface="Cambria Math" panose="02040503050406030204" pitchFamily="18" charset="0"/>
                            <a:ea typeface="Cambria Math" panose="02040503050406030204" pitchFamily="18" charset="0"/>
                          </a:rPr>
                        </m:ctrlPr>
                      </m:sSubPr>
                      <m:e>
                        <m:r>
                          <a:rPr lang="nl-BE" sz="1100" b="0" i="1">
                            <a:latin typeface="Cambria Math" panose="02040503050406030204" pitchFamily="18" charset="0"/>
                            <a:ea typeface="Cambria Math" panose="02040503050406030204" pitchFamily="18" charset="0"/>
                          </a:rPr>
                          <m:t>𝑇</m:t>
                        </m:r>
                      </m:e>
                      <m:sub>
                        <m:r>
                          <a:rPr lang="nl-BE" sz="1100" b="0" i="1">
                            <a:latin typeface="Cambria Math" panose="02040503050406030204" pitchFamily="18" charset="0"/>
                            <a:ea typeface="Cambria Math" panose="02040503050406030204" pitchFamily="18" charset="0"/>
                          </a:rPr>
                          <m:t>𝑀𝑃</m:t>
                        </m:r>
                        <m:r>
                          <a:rPr lang="nl-BE" sz="1100" b="0" i="1">
                            <a:latin typeface="Cambria Math" panose="02040503050406030204" pitchFamily="18" charset="0"/>
                            <a:ea typeface="Cambria Math" panose="02040503050406030204" pitchFamily="18" charset="0"/>
                          </a:rPr>
                          <m:t>,</m:t>
                        </m:r>
                        <m:r>
                          <a:rPr lang="nl-BE" sz="1100" b="0" i="1">
                            <a:latin typeface="Cambria Math" panose="02040503050406030204" pitchFamily="18" charset="0"/>
                            <a:ea typeface="Cambria Math" panose="02040503050406030204" pitchFamily="18" charset="0"/>
                          </a:rPr>
                          <m:t>𝑖</m:t>
                        </m:r>
                        <m:r>
                          <a:rPr lang="nl-BE" sz="1100" b="0" i="1">
                            <a:latin typeface="Cambria Math" panose="02040503050406030204" pitchFamily="18" charset="0"/>
                            <a:ea typeface="Cambria Math" panose="02040503050406030204" pitchFamily="18" charset="0"/>
                          </a:rPr>
                          <m:t>, </m:t>
                        </m:r>
                        <m:r>
                          <a:rPr lang="nl-BE" sz="1100" b="0" i="1">
                            <a:latin typeface="Cambria Math" panose="02040503050406030204" pitchFamily="18" charset="0"/>
                            <a:ea typeface="Cambria Math" panose="02040503050406030204" pitchFamily="18" charset="0"/>
                          </a:rPr>
                          <m:t>𝑗</m:t>
                        </m:r>
                        <m:r>
                          <a:rPr lang="nl-BE" sz="1100" b="0" i="1">
                            <a:latin typeface="Cambria Math" panose="02040503050406030204" pitchFamily="18" charset="0"/>
                            <a:ea typeface="Cambria Math" panose="02040503050406030204" pitchFamily="18" charset="0"/>
                          </a:rPr>
                          <m:t>, </m:t>
                        </m:r>
                        <m:r>
                          <a:rPr lang="nl-BE" sz="1100" b="0" i="1">
                            <a:latin typeface="Cambria Math" panose="02040503050406030204" pitchFamily="18" charset="0"/>
                            <a:ea typeface="Cambria Math" panose="02040503050406030204" pitchFamily="18" charset="0"/>
                          </a:rPr>
                          <m:t>𝑘</m:t>
                        </m:r>
                      </m:sub>
                    </m:sSub>
                    <m:r>
                      <a:rPr lang="nl-BE" sz="1100" b="0" i="1">
                        <a:latin typeface="Cambria Math" panose="02040503050406030204" pitchFamily="18" charset="0"/>
                        <a:ea typeface="Cambria Math" panose="02040503050406030204" pitchFamily="18" charset="0"/>
                      </a:rPr>
                      <m:t> × </m:t>
                    </m:r>
                    <m:r>
                      <a:rPr lang="nl-BE" sz="1100" b="0" i="1">
                        <a:solidFill>
                          <a:schemeClr val="tx1"/>
                        </a:solidFill>
                        <a:effectLst/>
                        <a:latin typeface="Cambria Math" panose="02040503050406030204" pitchFamily="18" charset="0"/>
                        <a:ea typeface="+mn-ea"/>
                        <a:cs typeface="+mn-cs"/>
                      </a:rPr>
                      <m:t>∑ </m:t>
                    </m:r>
                    <m:sSub>
                      <m:sSubPr>
                        <m:ctrlPr>
                          <a:rPr lang="nl-BE" sz="1100" b="0" i="1">
                            <a:latin typeface="Cambria Math" panose="02040503050406030204" pitchFamily="18" charset="0"/>
                            <a:ea typeface="Cambria Math" panose="02040503050406030204" pitchFamily="18" charset="0"/>
                          </a:rPr>
                        </m:ctrlPr>
                      </m:sSubPr>
                      <m:e>
                        <m:r>
                          <a:rPr lang="nl-BE" sz="1100" b="0" i="1">
                            <a:latin typeface="Cambria Math" panose="02040503050406030204" pitchFamily="18" charset="0"/>
                            <a:ea typeface="Cambria Math" panose="02040503050406030204" pitchFamily="18" charset="0"/>
                          </a:rPr>
                          <m:t>𝑘𝑊</m:t>
                        </m:r>
                      </m:e>
                      <m:sub>
                        <m:r>
                          <a:rPr lang="nl-BE" sz="1100" b="0" i="1">
                            <a:latin typeface="Cambria Math" panose="02040503050406030204" pitchFamily="18" charset="0"/>
                            <a:ea typeface="Cambria Math" panose="02040503050406030204" pitchFamily="18" charset="0"/>
                          </a:rPr>
                          <m:t>𝑀𝑃</m:t>
                        </m:r>
                        <m:r>
                          <a:rPr lang="nl-BE" sz="1100" b="0" i="1">
                            <a:latin typeface="Cambria Math" panose="02040503050406030204" pitchFamily="18" charset="0"/>
                            <a:ea typeface="Cambria Math" panose="02040503050406030204" pitchFamily="18" charset="0"/>
                          </a:rPr>
                          <m:t>,</m:t>
                        </m:r>
                        <m:r>
                          <a:rPr lang="nl-BE" sz="1100" b="0" i="1">
                            <a:latin typeface="Cambria Math" panose="02040503050406030204" pitchFamily="18" charset="0"/>
                            <a:ea typeface="Cambria Math" panose="02040503050406030204" pitchFamily="18" charset="0"/>
                          </a:rPr>
                          <m:t>𝑖</m:t>
                        </m:r>
                        <m:r>
                          <a:rPr lang="nl-BE" sz="1100" b="0" i="1">
                            <a:latin typeface="Cambria Math" panose="02040503050406030204" pitchFamily="18" charset="0"/>
                            <a:ea typeface="Cambria Math" panose="02040503050406030204" pitchFamily="18" charset="0"/>
                          </a:rPr>
                          <m:t>, </m:t>
                        </m:r>
                        <m:r>
                          <a:rPr lang="nl-BE" sz="1100" b="0" i="1">
                            <a:latin typeface="Cambria Math" panose="02040503050406030204" pitchFamily="18" charset="0"/>
                            <a:ea typeface="Cambria Math" panose="02040503050406030204" pitchFamily="18" charset="0"/>
                          </a:rPr>
                          <m:t>𝑗</m:t>
                        </m:r>
                        <m:r>
                          <a:rPr lang="nl-BE" sz="1100" b="0" i="1">
                            <a:latin typeface="Cambria Math" panose="02040503050406030204" pitchFamily="18" charset="0"/>
                            <a:ea typeface="Cambria Math" panose="02040503050406030204" pitchFamily="18" charset="0"/>
                          </a:rPr>
                          <m:t>, </m:t>
                        </m:r>
                        <m:r>
                          <a:rPr lang="nl-BE" sz="1100" b="0" i="1">
                            <a:latin typeface="Cambria Math" panose="02040503050406030204" pitchFamily="18" charset="0"/>
                            <a:ea typeface="Cambria Math" panose="02040503050406030204" pitchFamily="18" charset="0"/>
                          </a:rPr>
                          <m:t>𝑘</m:t>
                        </m:r>
                      </m:sub>
                    </m:sSub>
                    <m:r>
                      <a:rPr lang="nl-BE" sz="1100" b="0" i="1">
                        <a:latin typeface="Cambria Math" panose="02040503050406030204" pitchFamily="18" charset="0"/>
                        <a:ea typeface="Cambria Math" panose="02040503050406030204" pitchFamily="18" charset="0"/>
                      </a:rPr>
                      <m:t>+ </m:t>
                    </m:r>
                    <m:sSub>
                      <m:sSubPr>
                        <m:ctrlPr>
                          <a:rPr lang="nl-BE" sz="1100" b="0" i="1">
                            <a:latin typeface="Cambria Math" panose="02040503050406030204" pitchFamily="18" charset="0"/>
                            <a:ea typeface="Cambria Math" panose="02040503050406030204" pitchFamily="18" charset="0"/>
                          </a:rPr>
                        </m:ctrlPr>
                      </m:sSubPr>
                      <m:e>
                        <m:r>
                          <a:rPr lang="nl-BE" sz="1100" b="0" i="1">
                            <a:latin typeface="Cambria Math" panose="02040503050406030204" pitchFamily="18" charset="0"/>
                            <a:ea typeface="Cambria Math" panose="02040503050406030204" pitchFamily="18" charset="0"/>
                          </a:rPr>
                          <m:t>𝑇</m:t>
                        </m:r>
                      </m:e>
                      <m:sub>
                        <m:r>
                          <a:rPr lang="nl-BE" sz="1100" b="0" i="1">
                            <a:latin typeface="Cambria Math" panose="02040503050406030204" pitchFamily="18" charset="0"/>
                            <a:ea typeface="Cambria Math" panose="02040503050406030204" pitchFamily="18" charset="0"/>
                          </a:rPr>
                          <m:t>𝑀𝑃</m:t>
                        </m:r>
                        <m:r>
                          <a:rPr lang="nl-BE" sz="1100" b="0" i="1">
                            <a:latin typeface="Cambria Math" panose="02040503050406030204" pitchFamily="18" charset="0"/>
                            <a:ea typeface="Cambria Math" panose="02040503050406030204" pitchFamily="18" charset="0"/>
                          </a:rPr>
                          <m:t>−</m:t>
                        </m:r>
                        <m:r>
                          <a:rPr lang="nl-BE" sz="1100" b="0" i="1">
                            <a:latin typeface="Cambria Math" panose="02040503050406030204" pitchFamily="18" charset="0"/>
                            <a:ea typeface="Cambria Math" panose="02040503050406030204" pitchFamily="18" charset="0"/>
                          </a:rPr>
                          <m:t>𝑇𝑉</m:t>
                        </m:r>
                        <m:r>
                          <a:rPr lang="nl-BE" sz="1100" b="0" i="1">
                            <a:latin typeface="Cambria Math" panose="02040503050406030204" pitchFamily="18" charset="0"/>
                            <a:ea typeface="Cambria Math" panose="02040503050406030204" pitchFamily="18" charset="0"/>
                          </a:rPr>
                          <m:t>,</m:t>
                        </m:r>
                        <m:r>
                          <a:rPr lang="nl-BE" sz="1100" b="0" i="1">
                            <a:latin typeface="Cambria Math" panose="02040503050406030204" pitchFamily="18" charset="0"/>
                            <a:ea typeface="Cambria Math" panose="02040503050406030204" pitchFamily="18" charset="0"/>
                          </a:rPr>
                          <m:t>𝑖</m:t>
                        </m:r>
                        <m:r>
                          <a:rPr lang="nl-BE" sz="1100" b="0" i="1">
                            <a:latin typeface="Cambria Math" panose="02040503050406030204" pitchFamily="18" charset="0"/>
                            <a:ea typeface="Cambria Math" panose="02040503050406030204" pitchFamily="18" charset="0"/>
                          </a:rPr>
                          <m:t>, </m:t>
                        </m:r>
                        <m:r>
                          <a:rPr lang="nl-BE" sz="1100" b="0" i="1">
                            <a:latin typeface="Cambria Math" panose="02040503050406030204" pitchFamily="18" charset="0"/>
                            <a:ea typeface="Cambria Math" panose="02040503050406030204" pitchFamily="18" charset="0"/>
                          </a:rPr>
                          <m:t>𝑗</m:t>
                        </m:r>
                        <m:r>
                          <a:rPr lang="nl-BE" sz="1100" b="0" i="1">
                            <a:latin typeface="Cambria Math" panose="02040503050406030204" pitchFamily="18" charset="0"/>
                            <a:ea typeface="Cambria Math" panose="02040503050406030204" pitchFamily="18" charset="0"/>
                          </a:rPr>
                          <m:t>, </m:t>
                        </m:r>
                        <m:r>
                          <a:rPr lang="nl-BE" sz="1100" b="0" i="1">
                            <a:latin typeface="Cambria Math" panose="02040503050406030204" pitchFamily="18" charset="0"/>
                            <a:ea typeface="Cambria Math" panose="02040503050406030204" pitchFamily="18" charset="0"/>
                          </a:rPr>
                          <m:t>𝑘</m:t>
                        </m:r>
                      </m:sub>
                    </m:sSub>
                    <m:r>
                      <a:rPr lang="nl-BE" sz="1100" b="0" i="1">
                        <a:latin typeface="Cambria Math" panose="02040503050406030204" pitchFamily="18" charset="0"/>
                        <a:ea typeface="Cambria Math" panose="02040503050406030204" pitchFamily="18" charset="0"/>
                      </a:rPr>
                      <m:t> × </m:t>
                    </m:r>
                    <m:r>
                      <a:rPr lang="nl-BE" sz="1100" b="0" i="1">
                        <a:solidFill>
                          <a:schemeClr val="tx1"/>
                        </a:solidFill>
                        <a:effectLst/>
                        <a:latin typeface="Cambria Math" panose="02040503050406030204" pitchFamily="18" charset="0"/>
                        <a:ea typeface="+mn-ea"/>
                        <a:cs typeface="+mn-cs"/>
                      </a:rPr>
                      <m:t>∑ </m:t>
                    </m:r>
                    <m:sSub>
                      <m:sSubPr>
                        <m:ctrlPr>
                          <a:rPr lang="nl-BE" sz="1100" b="0" i="1">
                            <a:latin typeface="Cambria Math" panose="02040503050406030204" pitchFamily="18" charset="0"/>
                            <a:ea typeface="Cambria Math" panose="02040503050406030204" pitchFamily="18" charset="0"/>
                          </a:rPr>
                        </m:ctrlPr>
                      </m:sSubPr>
                      <m:e>
                        <m:r>
                          <a:rPr lang="nl-BE" sz="1100" b="0" i="1">
                            <a:latin typeface="Cambria Math" panose="02040503050406030204" pitchFamily="18" charset="0"/>
                            <a:ea typeface="Cambria Math" panose="02040503050406030204" pitchFamily="18" charset="0"/>
                          </a:rPr>
                          <m:t>𝑘𝑊</m:t>
                        </m:r>
                      </m:e>
                      <m:sub>
                        <m:r>
                          <a:rPr lang="nl-BE" sz="1100" b="0" i="1">
                            <a:latin typeface="Cambria Math" panose="02040503050406030204" pitchFamily="18" charset="0"/>
                            <a:ea typeface="Cambria Math" panose="02040503050406030204" pitchFamily="18" charset="0"/>
                          </a:rPr>
                          <m:t>𝑀𝑃</m:t>
                        </m:r>
                        <m:r>
                          <a:rPr lang="nl-BE" sz="1100" b="0" i="1">
                            <a:latin typeface="Cambria Math" panose="02040503050406030204" pitchFamily="18" charset="0"/>
                            <a:ea typeface="Cambria Math" panose="02040503050406030204" pitchFamily="18" charset="0"/>
                          </a:rPr>
                          <m:t>−</m:t>
                        </m:r>
                        <m:r>
                          <a:rPr lang="nl-BE" sz="1100" b="0" i="1">
                            <a:latin typeface="Cambria Math" panose="02040503050406030204" pitchFamily="18" charset="0"/>
                            <a:ea typeface="Cambria Math" panose="02040503050406030204" pitchFamily="18" charset="0"/>
                          </a:rPr>
                          <m:t>𝑇𝑉</m:t>
                        </m:r>
                        <m:r>
                          <a:rPr lang="nl-BE" sz="1100" b="0" i="1">
                            <a:latin typeface="Cambria Math" panose="02040503050406030204" pitchFamily="18" charset="0"/>
                            <a:ea typeface="Cambria Math" panose="02040503050406030204" pitchFamily="18" charset="0"/>
                          </a:rPr>
                          <m:t>,</m:t>
                        </m:r>
                        <m:r>
                          <a:rPr lang="nl-BE" sz="1100" b="0" i="1">
                            <a:latin typeface="Cambria Math" panose="02040503050406030204" pitchFamily="18" charset="0"/>
                            <a:ea typeface="Cambria Math" panose="02040503050406030204" pitchFamily="18" charset="0"/>
                          </a:rPr>
                          <m:t>𝑖</m:t>
                        </m:r>
                        <m:r>
                          <a:rPr lang="nl-BE" sz="1100" b="0" i="1">
                            <a:latin typeface="Cambria Math" panose="02040503050406030204" pitchFamily="18" charset="0"/>
                            <a:ea typeface="Cambria Math" panose="02040503050406030204" pitchFamily="18" charset="0"/>
                          </a:rPr>
                          <m:t>, </m:t>
                        </m:r>
                        <m:r>
                          <a:rPr lang="nl-BE" sz="1100" b="0" i="1">
                            <a:latin typeface="Cambria Math" panose="02040503050406030204" pitchFamily="18" charset="0"/>
                            <a:ea typeface="Cambria Math" panose="02040503050406030204" pitchFamily="18" charset="0"/>
                          </a:rPr>
                          <m:t>𝑗</m:t>
                        </m:r>
                        <m:r>
                          <a:rPr lang="nl-BE" sz="1100" b="0" i="1">
                            <a:latin typeface="Cambria Math" panose="02040503050406030204" pitchFamily="18" charset="0"/>
                            <a:ea typeface="Cambria Math" panose="02040503050406030204" pitchFamily="18" charset="0"/>
                          </a:rPr>
                          <m:t>, </m:t>
                        </m:r>
                        <m:r>
                          <a:rPr lang="nl-BE" sz="1100" b="0" i="1">
                            <a:latin typeface="Cambria Math" panose="02040503050406030204" pitchFamily="18" charset="0"/>
                            <a:ea typeface="Cambria Math" panose="02040503050406030204" pitchFamily="18" charset="0"/>
                          </a:rPr>
                          <m:t>𝑘</m:t>
                        </m:r>
                      </m:sub>
                    </m:sSub>
                    <m:r>
                      <a:rPr lang="nl-BE" sz="1100" b="0" i="1">
                        <a:latin typeface="Cambria Math" panose="02040503050406030204" pitchFamily="18" charset="0"/>
                      </a:rPr>
                      <m:t> </m:t>
                    </m:r>
                  </m:oMath>
                </m:oMathPara>
              </a14:m>
              <a:endParaRPr lang="nl-BE" sz="1100"/>
            </a:p>
          </xdr:txBody>
        </xdr:sp>
      </mc:Choice>
      <mc:Fallback xmlns="">
        <xdr:sp macro="" textlink="">
          <xdr:nvSpPr>
            <xdr:cNvPr id="27" name="Tekstvak 26">
              <a:extLst>
                <a:ext uri="{FF2B5EF4-FFF2-40B4-BE49-F238E27FC236}">
                  <a16:creationId xmlns:a16="http://schemas.microsoft.com/office/drawing/2014/main" id="{FA228206-66F6-4D2C-A595-ED41DDF541F7}"/>
                </a:ext>
              </a:extLst>
            </xdr:cNvPr>
            <xdr:cNvSpPr txBox="1"/>
          </xdr:nvSpPr>
          <xdr:spPr>
            <a:xfrm>
              <a:off x="381000" y="8877300"/>
              <a:ext cx="6180923" cy="1833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nl-BE" sz="1100" b="0" i="0">
                  <a:latin typeface="Cambria Math" panose="02040503050406030204" pitchFamily="18" charset="0"/>
                </a:rPr>
                <a:t>𝐵_(𝑁𝑒𝑡𝑔𝑒𝑏𝑟𝑢𝑖𝑘,  𝑖, 𝑗, 𝑘)= 𝑇_(𝑇𝑉,𝑖, 𝑗, 𝑘)  </a:t>
              </a:r>
              <a:r>
                <a:rPr lang="nl-BE" sz="1100" b="0" i="0">
                  <a:latin typeface="Cambria Math" panose="02040503050406030204" pitchFamily="18" charset="0"/>
                  <a:ea typeface="Cambria Math" panose="02040503050406030204" pitchFamily="18" charset="0"/>
                </a:rPr>
                <a:t>× 〖∑ 𝑘𝑉𝐴〗_(𝑇𝑉,𝑖, 𝑗, 𝑘)+ 𝑇_(𝑀𝑃,𝑖, 𝑗, 𝑘)  × </a:t>
              </a:r>
              <a:r>
                <a:rPr lang="nl-BE" sz="1100" b="0" i="0">
                  <a:solidFill>
                    <a:schemeClr val="tx1"/>
                  </a:solidFill>
                  <a:effectLst/>
                  <a:latin typeface="Cambria Math" panose="02040503050406030204" pitchFamily="18" charset="0"/>
                  <a:ea typeface="+mn-ea"/>
                  <a:cs typeface="+mn-cs"/>
                </a:rPr>
                <a:t>∑ </a:t>
              </a:r>
              <a:r>
                <a:rPr lang="nl-BE" sz="1100" b="0" i="0">
                  <a:latin typeface="Cambria Math" panose="02040503050406030204" pitchFamily="18" charset="0"/>
                  <a:ea typeface="Cambria Math" panose="02040503050406030204" pitchFamily="18" charset="0"/>
                </a:rPr>
                <a:t>〖𝑘𝑊〗_(𝑀𝑃,𝑖, 𝑗, 𝑘)+ 𝑇_(𝑀𝑃−𝑇𝑉,𝑖, 𝑗, 𝑘)  × </a:t>
              </a:r>
              <a:r>
                <a:rPr lang="nl-BE" sz="1100" b="0" i="0">
                  <a:solidFill>
                    <a:schemeClr val="tx1"/>
                  </a:solidFill>
                  <a:effectLst/>
                  <a:latin typeface="Cambria Math" panose="02040503050406030204" pitchFamily="18" charset="0"/>
                  <a:ea typeface="+mn-ea"/>
                  <a:cs typeface="+mn-cs"/>
                </a:rPr>
                <a:t>∑ </a:t>
              </a:r>
              <a:r>
                <a:rPr lang="nl-BE" sz="1100" b="0" i="0">
                  <a:latin typeface="Cambria Math" panose="02040503050406030204" pitchFamily="18" charset="0"/>
                  <a:ea typeface="Cambria Math" panose="02040503050406030204" pitchFamily="18" charset="0"/>
                </a:rPr>
                <a:t>〖𝑘𝑊〗_(𝑀𝑃−𝑇𝑉,𝑖, 𝑗, 𝑘) </a:t>
              </a:r>
              <a:r>
                <a:rPr lang="nl-BE" sz="1100" b="0" i="0">
                  <a:latin typeface="Cambria Math" panose="02040503050406030204" pitchFamily="18" charset="0"/>
                </a:rPr>
                <a:t> </a:t>
              </a:r>
              <a:endParaRPr lang="nl-BE" sz="1100"/>
            </a:p>
          </xdr:txBody>
        </xdr:sp>
      </mc:Fallback>
    </mc:AlternateContent>
    <xdr:clientData/>
  </xdr:oneCellAnchor>
  <xdr:oneCellAnchor>
    <xdr:from>
      <xdr:col>1</xdr:col>
      <xdr:colOff>0</xdr:colOff>
      <xdr:row>98</xdr:row>
      <xdr:rowOff>0</xdr:rowOff>
    </xdr:from>
    <xdr:ext cx="6758838" cy="183320"/>
    <mc:AlternateContent xmlns:mc="http://schemas.openxmlformats.org/markup-compatibility/2006" xmlns:a14="http://schemas.microsoft.com/office/drawing/2010/main">
      <mc:Choice Requires="a14">
        <xdr:sp macro="" textlink="">
          <xdr:nvSpPr>
            <xdr:cNvPr id="28" name="Tekstvak 27">
              <a:extLst>
                <a:ext uri="{FF2B5EF4-FFF2-40B4-BE49-F238E27FC236}">
                  <a16:creationId xmlns:a16="http://schemas.microsoft.com/office/drawing/2014/main" id="{611411AB-F853-4AD7-9107-9B6895A3F55A}"/>
                </a:ext>
              </a:extLst>
            </xdr:cNvPr>
            <xdr:cNvSpPr txBox="1"/>
          </xdr:nvSpPr>
          <xdr:spPr>
            <a:xfrm>
              <a:off x="381000" y="9258300"/>
              <a:ext cx="6758838" cy="1833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lgn="ctr"/>
              <a14:m>
                <m:oMath xmlns:m="http://schemas.openxmlformats.org/officeDocument/2006/math">
                  <m:sSub>
                    <m:sSubPr>
                      <m:ctrlPr>
                        <a:rPr lang="nl-BE" sz="1100" i="1">
                          <a:latin typeface="Cambria Math" panose="02040503050406030204" pitchFamily="18" charset="0"/>
                        </a:rPr>
                      </m:ctrlPr>
                    </m:sSubPr>
                    <m:e>
                      <m:r>
                        <a:rPr lang="nl-BE" sz="1100" b="0" i="1">
                          <a:latin typeface="Cambria Math" panose="02040503050406030204" pitchFamily="18" charset="0"/>
                        </a:rPr>
                        <m:t>𝑇</m:t>
                      </m:r>
                    </m:e>
                    <m:sub>
                      <m:r>
                        <a:rPr lang="nl-BE" sz="1100" b="0" i="1">
                          <a:latin typeface="Cambria Math" panose="02040503050406030204" pitchFamily="18" charset="0"/>
                        </a:rPr>
                        <m:t>𝑇𝑉</m:t>
                      </m:r>
                      <m:r>
                        <a:rPr lang="nl-BE" sz="1100" b="0" i="1">
                          <a:latin typeface="Cambria Math" panose="02040503050406030204" pitchFamily="18" charset="0"/>
                        </a:rPr>
                        <m:t>,</m:t>
                      </m:r>
                      <m:r>
                        <a:rPr lang="nl-BE" sz="1100" b="0" i="1">
                          <a:latin typeface="Cambria Math" panose="02040503050406030204" pitchFamily="18" charset="0"/>
                        </a:rPr>
                        <m:t>𝑖</m:t>
                      </m:r>
                      <m:r>
                        <a:rPr lang="nl-BE" sz="1100" b="0" i="1">
                          <a:latin typeface="Cambria Math" panose="02040503050406030204" pitchFamily="18" charset="0"/>
                        </a:rPr>
                        <m:t>, </m:t>
                      </m:r>
                      <m:r>
                        <a:rPr lang="nl-BE" sz="1100" b="0" i="1">
                          <a:latin typeface="Cambria Math" panose="02040503050406030204" pitchFamily="18" charset="0"/>
                        </a:rPr>
                        <m:t>𝑗</m:t>
                      </m:r>
                      <m:r>
                        <a:rPr lang="nl-BE" sz="1100" b="0" i="1">
                          <a:latin typeface="Cambria Math" panose="02040503050406030204" pitchFamily="18" charset="0"/>
                        </a:rPr>
                        <m:t>, </m:t>
                      </m:r>
                      <m:r>
                        <a:rPr lang="nl-BE" sz="1100" b="0" i="1">
                          <a:latin typeface="Cambria Math" panose="02040503050406030204" pitchFamily="18" charset="0"/>
                        </a:rPr>
                        <m:t>𝑘</m:t>
                      </m:r>
                    </m:sub>
                  </m:sSub>
                  <m:r>
                    <a:rPr lang="nl-BE" sz="1100" b="0" i="1">
                      <a:latin typeface="Cambria Math" panose="02040503050406030204" pitchFamily="18" charset="0"/>
                    </a:rPr>
                    <m:t> </m:t>
                  </m:r>
                  <m:r>
                    <a:rPr lang="nl-BE" sz="1100" b="0" i="1">
                      <a:latin typeface="Cambria Math" panose="02040503050406030204" pitchFamily="18" charset="0"/>
                      <a:ea typeface="Cambria Math" panose="02040503050406030204" pitchFamily="18" charset="0"/>
                    </a:rPr>
                    <m:t>× </m:t>
                  </m:r>
                  <m:r>
                    <a:rPr lang="nl-BE" sz="1100" b="0" i="1">
                      <a:solidFill>
                        <a:schemeClr val="tx1"/>
                      </a:solidFill>
                      <a:effectLst/>
                      <a:latin typeface="Cambria Math" panose="02040503050406030204" pitchFamily="18" charset="0"/>
                      <a:ea typeface="+mn-ea"/>
                      <a:cs typeface="+mn-cs"/>
                    </a:rPr>
                    <m:t>∑ </m:t>
                  </m:r>
                  <m:sSub>
                    <m:sSubPr>
                      <m:ctrlPr>
                        <a:rPr lang="nl-BE" sz="1100" b="0" i="1">
                          <a:latin typeface="Cambria Math" panose="02040503050406030204" pitchFamily="18" charset="0"/>
                          <a:ea typeface="Cambria Math" panose="02040503050406030204" pitchFamily="18" charset="0"/>
                        </a:rPr>
                      </m:ctrlPr>
                    </m:sSubPr>
                    <m:e>
                      <m:r>
                        <a:rPr lang="nl-BE" sz="1100" b="0" i="1">
                          <a:latin typeface="Cambria Math" panose="02040503050406030204" pitchFamily="18" charset="0"/>
                          <a:ea typeface="Cambria Math" panose="02040503050406030204" pitchFamily="18" charset="0"/>
                        </a:rPr>
                        <m:t>𝑘𝑉𝐴</m:t>
                      </m:r>
                    </m:e>
                    <m:sub>
                      <m:r>
                        <a:rPr lang="nl-BE" sz="1100" b="0" i="1">
                          <a:latin typeface="Cambria Math" panose="02040503050406030204" pitchFamily="18" charset="0"/>
                          <a:ea typeface="Cambria Math" panose="02040503050406030204" pitchFamily="18" charset="0"/>
                        </a:rPr>
                        <m:t>𝑇𝑉</m:t>
                      </m:r>
                      <m:r>
                        <a:rPr lang="nl-BE" sz="1100" b="0" i="1">
                          <a:latin typeface="Cambria Math" panose="02040503050406030204" pitchFamily="18" charset="0"/>
                          <a:ea typeface="Cambria Math" panose="02040503050406030204" pitchFamily="18" charset="0"/>
                        </a:rPr>
                        <m:t>,</m:t>
                      </m:r>
                      <m:r>
                        <a:rPr lang="nl-BE" sz="1100" b="0" i="1">
                          <a:latin typeface="Cambria Math" panose="02040503050406030204" pitchFamily="18" charset="0"/>
                          <a:ea typeface="Cambria Math" panose="02040503050406030204" pitchFamily="18" charset="0"/>
                        </a:rPr>
                        <m:t>𝑖</m:t>
                      </m:r>
                      <m:r>
                        <a:rPr lang="nl-BE" sz="1100" b="0" i="1">
                          <a:latin typeface="Cambria Math" panose="02040503050406030204" pitchFamily="18" charset="0"/>
                          <a:ea typeface="Cambria Math" panose="02040503050406030204" pitchFamily="18" charset="0"/>
                        </a:rPr>
                        <m:t>, </m:t>
                      </m:r>
                      <m:r>
                        <a:rPr lang="nl-BE" sz="1100" b="0" i="1">
                          <a:latin typeface="Cambria Math" panose="02040503050406030204" pitchFamily="18" charset="0"/>
                          <a:ea typeface="Cambria Math" panose="02040503050406030204" pitchFamily="18" charset="0"/>
                        </a:rPr>
                        <m:t>𝑗</m:t>
                      </m:r>
                      <m:r>
                        <a:rPr lang="nl-BE" sz="1100" b="0" i="1">
                          <a:latin typeface="Cambria Math" panose="02040503050406030204" pitchFamily="18" charset="0"/>
                          <a:ea typeface="Cambria Math" panose="02040503050406030204" pitchFamily="18" charset="0"/>
                        </a:rPr>
                        <m:t>, </m:t>
                      </m:r>
                      <m:r>
                        <a:rPr lang="nl-BE" sz="1100" b="0" i="1">
                          <a:latin typeface="Cambria Math" panose="02040503050406030204" pitchFamily="18" charset="0"/>
                          <a:ea typeface="Cambria Math" panose="02040503050406030204" pitchFamily="18" charset="0"/>
                        </a:rPr>
                        <m:t>𝑘</m:t>
                      </m:r>
                    </m:sub>
                  </m:sSub>
                  <m:r>
                    <a:rPr lang="nl-BE" sz="1100" b="0" i="1">
                      <a:latin typeface="Cambria Math" panose="02040503050406030204" pitchFamily="18" charset="0"/>
                      <a:ea typeface="Cambria Math" panose="02040503050406030204" pitchFamily="18" charset="0"/>
                    </a:rPr>
                    <m:t>= </m:t>
                  </m:r>
                  <m:sSub>
                    <m:sSubPr>
                      <m:ctrlPr>
                        <a:rPr lang="nl-BE" sz="1100" b="0" i="1">
                          <a:solidFill>
                            <a:schemeClr val="tx1"/>
                          </a:solidFill>
                          <a:effectLst/>
                          <a:latin typeface="Cambria Math" panose="02040503050406030204" pitchFamily="18" charset="0"/>
                          <a:ea typeface="+mn-ea"/>
                          <a:cs typeface="+mn-cs"/>
                        </a:rPr>
                      </m:ctrlPr>
                    </m:sSubPr>
                    <m:e>
                      <m:r>
                        <a:rPr lang="nl-BE" sz="1100" b="0" i="1">
                          <a:solidFill>
                            <a:schemeClr val="tx1"/>
                          </a:solidFill>
                          <a:effectLst/>
                          <a:latin typeface="Cambria Math" panose="02040503050406030204" pitchFamily="18" charset="0"/>
                          <a:ea typeface="+mn-ea"/>
                          <a:cs typeface="+mn-cs"/>
                        </a:rPr>
                        <m:t>𝑇</m:t>
                      </m:r>
                    </m:e>
                    <m:sub>
                      <m:r>
                        <a:rPr lang="nl-BE" sz="1100" b="0" i="1">
                          <a:solidFill>
                            <a:schemeClr val="tx1"/>
                          </a:solidFill>
                          <a:effectLst/>
                          <a:latin typeface="Cambria Math" panose="02040503050406030204" pitchFamily="18" charset="0"/>
                          <a:ea typeface="+mn-ea"/>
                          <a:cs typeface="+mn-cs"/>
                        </a:rPr>
                        <m:t>𝑀𝑃</m:t>
                      </m:r>
                      <m:r>
                        <a:rPr lang="nl-BE" sz="1100" b="0" i="1">
                          <a:solidFill>
                            <a:schemeClr val="tx1"/>
                          </a:solidFill>
                          <a:effectLst/>
                          <a:latin typeface="Cambria Math" panose="02040503050406030204" pitchFamily="18" charset="0"/>
                          <a:ea typeface="+mn-ea"/>
                          <a:cs typeface="+mn-cs"/>
                        </a:rPr>
                        <m:t>,</m:t>
                      </m:r>
                      <m:r>
                        <a:rPr lang="nl-BE" sz="1100" b="0" i="1">
                          <a:solidFill>
                            <a:schemeClr val="tx1"/>
                          </a:solidFill>
                          <a:effectLst/>
                          <a:latin typeface="Cambria Math" panose="02040503050406030204" pitchFamily="18" charset="0"/>
                          <a:ea typeface="+mn-ea"/>
                          <a:cs typeface="+mn-cs"/>
                        </a:rPr>
                        <m:t>𝑖</m:t>
                      </m:r>
                      <m:r>
                        <a:rPr lang="nl-BE" sz="1100" b="0" i="1">
                          <a:solidFill>
                            <a:schemeClr val="tx1"/>
                          </a:solidFill>
                          <a:effectLst/>
                          <a:latin typeface="Cambria Math" panose="02040503050406030204" pitchFamily="18" charset="0"/>
                          <a:ea typeface="+mn-ea"/>
                          <a:cs typeface="+mn-cs"/>
                        </a:rPr>
                        <m:t>, </m:t>
                      </m:r>
                      <m:r>
                        <a:rPr lang="nl-BE" sz="1100" b="0" i="1">
                          <a:solidFill>
                            <a:schemeClr val="tx1"/>
                          </a:solidFill>
                          <a:effectLst/>
                          <a:latin typeface="Cambria Math" panose="02040503050406030204" pitchFamily="18" charset="0"/>
                          <a:ea typeface="+mn-ea"/>
                          <a:cs typeface="+mn-cs"/>
                        </a:rPr>
                        <m:t>𝑗</m:t>
                      </m:r>
                      <m:r>
                        <a:rPr lang="nl-BE" sz="1100" b="0" i="1">
                          <a:solidFill>
                            <a:schemeClr val="tx1"/>
                          </a:solidFill>
                          <a:effectLst/>
                          <a:latin typeface="Cambria Math" panose="02040503050406030204" pitchFamily="18" charset="0"/>
                          <a:ea typeface="+mn-ea"/>
                          <a:cs typeface="+mn-cs"/>
                        </a:rPr>
                        <m:t>, </m:t>
                      </m:r>
                      <m:r>
                        <a:rPr lang="nl-BE" sz="1100" b="0" i="1">
                          <a:solidFill>
                            <a:schemeClr val="tx1"/>
                          </a:solidFill>
                          <a:effectLst/>
                          <a:latin typeface="Cambria Math" panose="02040503050406030204" pitchFamily="18" charset="0"/>
                          <a:ea typeface="+mn-ea"/>
                          <a:cs typeface="+mn-cs"/>
                        </a:rPr>
                        <m:t>𝑘</m:t>
                      </m:r>
                    </m:sub>
                  </m:sSub>
                  <m:r>
                    <a:rPr lang="nl-BE" sz="1100" b="0" i="1">
                      <a:solidFill>
                        <a:schemeClr val="tx1"/>
                      </a:solidFill>
                      <a:effectLst/>
                      <a:latin typeface="Cambria Math" panose="02040503050406030204" pitchFamily="18" charset="0"/>
                      <a:ea typeface="+mn-ea"/>
                      <a:cs typeface="+mn-cs"/>
                    </a:rPr>
                    <m:t> × ∑ </m:t>
                  </m:r>
                  <m:sSub>
                    <m:sSubPr>
                      <m:ctrlPr>
                        <a:rPr lang="nl-BE" sz="1100" b="0" i="1">
                          <a:solidFill>
                            <a:schemeClr val="tx1"/>
                          </a:solidFill>
                          <a:effectLst/>
                          <a:latin typeface="Cambria Math" panose="02040503050406030204" pitchFamily="18" charset="0"/>
                          <a:ea typeface="+mn-ea"/>
                          <a:cs typeface="+mn-cs"/>
                        </a:rPr>
                      </m:ctrlPr>
                    </m:sSubPr>
                    <m:e>
                      <m:r>
                        <a:rPr lang="nl-BE" sz="1100" b="0" i="1">
                          <a:solidFill>
                            <a:schemeClr val="tx1"/>
                          </a:solidFill>
                          <a:effectLst/>
                          <a:latin typeface="Cambria Math" panose="02040503050406030204" pitchFamily="18" charset="0"/>
                          <a:ea typeface="+mn-ea"/>
                          <a:cs typeface="+mn-cs"/>
                        </a:rPr>
                        <m:t>𝑘𝑊</m:t>
                      </m:r>
                    </m:e>
                    <m:sub>
                      <m:r>
                        <a:rPr lang="nl-BE" sz="1100" b="0" i="1">
                          <a:solidFill>
                            <a:schemeClr val="tx1"/>
                          </a:solidFill>
                          <a:effectLst/>
                          <a:latin typeface="Cambria Math" panose="02040503050406030204" pitchFamily="18" charset="0"/>
                          <a:ea typeface="+mn-ea"/>
                          <a:cs typeface="+mn-cs"/>
                        </a:rPr>
                        <m:t>𝑀𝑃</m:t>
                      </m:r>
                      <m:r>
                        <a:rPr lang="nl-BE" sz="1100" b="0" i="1">
                          <a:solidFill>
                            <a:schemeClr val="tx1"/>
                          </a:solidFill>
                          <a:effectLst/>
                          <a:latin typeface="Cambria Math" panose="02040503050406030204" pitchFamily="18" charset="0"/>
                          <a:ea typeface="+mn-ea"/>
                          <a:cs typeface="+mn-cs"/>
                        </a:rPr>
                        <m:t>,</m:t>
                      </m:r>
                      <m:r>
                        <a:rPr lang="nl-BE" sz="1100" b="0" i="1">
                          <a:solidFill>
                            <a:schemeClr val="tx1"/>
                          </a:solidFill>
                          <a:effectLst/>
                          <a:latin typeface="Cambria Math" panose="02040503050406030204" pitchFamily="18" charset="0"/>
                          <a:ea typeface="+mn-ea"/>
                          <a:cs typeface="+mn-cs"/>
                        </a:rPr>
                        <m:t>𝑖</m:t>
                      </m:r>
                      <m:r>
                        <a:rPr lang="nl-BE" sz="1100" b="0" i="1">
                          <a:solidFill>
                            <a:schemeClr val="tx1"/>
                          </a:solidFill>
                          <a:effectLst/>
                          <a:latin typeface="Cambria Math" panose="02040503050406030204" pitchFamily="18" charset="0"/>
                          <a:ea typeface="+mn-ea"/>
                          <a:cs typeface="+mn-cs"/>
                        </a:rPr>
                        <m:t>, </m:t>
                      </m:r>
                      <m:r>
                        <a:rPr lang="nl-BE" sz="1100" b="0" i="1">
                          <a:solidFill>
                            <a:schemeClr val="tx1"/>
                          </a:solidFill>
                          <a:effectLst/>
                          <a:latin typeface="Cambria Math" panose="02040503050406030204" pitchFamily="18" charset="0"/>
                          <a:ea typeface="+mn-ea"/>
                          <a:cs typeface="+mn-cs"/>
                        </a:rPr>
                        <m:t>𝑗</m:t>
                      </m:r>
                      <m:r>
                        <a:rPr lang="nl-BE" sz="1100" b="0" i="1">
                          <a:solidFill>
                            <a:schemeClr val="tx1"/>
                          </a:solidFill>
                          <a:effectLst/>
                          <a:latin typeface="Cambria Math" panose="02040503050406030204" pitchFamily="18" charset="0"/>
                          <a:ea typeface="+mn-ea"/>
                          <a:cs typeface="+mn-cs"/>
                        </a:rPr>
                        <m:t>, </m:t>
                      </m:r>
                      <m:r>
                        <a:rPr lang="nl-BE" sz="1100" b="0" i="1">
                          <a:solidFill>
                            <a:schemeClr val="tx1"/>
                          </a:solidFill>
                          <a:effectLst/>
                          <a:latin typeface="Cambria Math" panose="02040503050406030204" pitchFamily="18" charset="0"/>
                          <a:ea typeface="+mn-ea"/>
                          <a:cs typeface="+mn-cs"/>
                        </a:rPr>
                        <m:t>𝑘</m:t>
                      </m:r>
                    </m:sub>
                  </m:sSub>
                  <m:r>
                    <a:rPr lang="nl-BE" sz="1100" b="0" i="0">
                      <a:solidFill>
                        <a:schemeClr val="tx1"/>
                      </a:solidFill>
                      <a:effectLst/>
                      <a:latin typeface="Cambria Math" panose="02040503050406030204" pitchFamily="18" charset="0"/>
                      <a:ea typeface="+mn-ea"/>
                      <a:cs typeface="+mn-cs"/>
                    </a:rPr>
                    <m:t>=50% </m:t>
                  </m:r>
                  <m:r>
                    <a:rPr lang="nl-BE" sz="1100" b="0" i="1">
                      <a:solidFill>
                        <a:schemeClr val="tx1"/>
                      </a:solidFill>
                      <a:effectLst/>
                      <a:latin typeface="Cambria Math" panose="02040503050406030204" pitchFamily="18" charset="0"/>
                      <a:ea typeface="Cambria Math" panose="02040503050406030204" pitchFamily="18" charset="0"/>
                      <a:cs typeface="+mn-cs"/>
                    </a:rPr>
                    <m:t>×(</m:t>
                  </m:r>
                  <m:sSub>
                    <m:sSubPr>
                      <m:ctrlPr>
                        <a:rPr lang="nl-BE" sz="1100" i="1">
                          <a:solidFill>
                            <a:schemeClr val="tx1"/>
                          </a:solidFill>
                          <a:effectLst/>
                          <a:latin typeface="Cambria Math" panose="02040503050406030204" pitchFamily="18" charset="0"/>
                          <a:ea typeface="+mn-ea"/>
                          <a:cs typeface="+mn-cs"/>
                        </a:rPr>
                      </m:ctrlPr>
                    </m:sSubPr>
                    <m:e>
                      <m:r>
                        <a:rPr lang="nl-BE" sz="1100" b="0" i="1">
                          <a:solidFill>
                            <a:schemeClr val="tx1"/>
                          </a:solidFill>
                          <a:effectLst/>
                          <a:latin typeface="Cambria Math" panose="02040503050406030204" pitchFamily="18" charset="0"/>
                          <a:ea typeface="+mn-ea"/>
                          <a:cs typeface="+mn-cs"/>
                        </a:rPr>
                        <m:t>𝐵</m:t>
                      </m:r>
                    </m:e>
                    <m:sub>
                      <m:r>
                        <a:rPr lang="nl-BE" sz="1100" b="0" i="1">
                          <a:solidFill>
                            <a:schemeClr val="tx1"/>
                          </a:solidFill>
                          <a:effectLst/>
                          <a:latin typeface="Cambria Math" panose="02040503050406030204" pitchFamily="18" charset="0"/>
                          <a:ea typeface="+mn-ea"/>
                          <a:cs typeface="+mn-cs"/>
                        </a:rPr>
                        <m:t>𝑁𝑒𝑡𝑔𝑒𝑏𝑟𝑢𝑖𝑘</m:t>
                      </m:r>
                      <m:r>
                        <a:rPr lang="nl-BE" sz="1100" b="0" i="1">
                          <a:solidFill>
                            <a:schemeClr val="tx1"/>
                          </a:solidFill>
                          <a:effectLst/>
                          <a:latin typeface="Cambria Math" panose="02040503050406030204" pitchFamily="18" charset="0"/>
                          <a:ea typeface="+mn-ea"/>
                          <a:cs typeface="+mn-cs"/>
                        </a:rPr>
                        <m:t>,</m:t>
                      </m:r>
                      <m:r>
                        <a:rPr lang="nl-BE" sz="1100" b="0" i="1">
                          <a:solidFill>
                            <a:schemeClr val="tx1"/>
                          </a:solidFill>
                          <a:effectLst/>
                          <a:latin typeface="Cambria Math" panose="02040503050406030204" pitchFamily="18" charset="0"/>
                          <a:ea typeface="+mn-ea"/>
                          <a:cs typeface="+mn-cs"/>
                        </a:rPr>
                        <m:t>𝑖</m:t>
                      </m:r>
                      <m:r>
                        <a:rPr lang="nl-BE" sz="1100" b="0" i="1">
                          <a:solidFill>
                            <a:schemeClr val="tx1"/>
                          </a:solidFill>
                          <a:effectLst/>
                          <a:latin typeface="Cambria Math" panose="02040503050406030204" pitchFamily="18" charset="0"/>
                          <a:ea typeface="+mn-ea"/>
                          <a:cs typeface="+mn-cs"/>
                        </a:rPr>
                        <m:t>, </m:t>
                      </m:r>
                      <m:r>
                        <a:rPr lang="nl-BE" sz="1100" b="0" i="1">
                          <a:solidFill>
                            <a:schemeClr val="tx1"/>
                          </a:solidFill>
                          <a:effectLst/>
                          <a:latin typeface="Cambria Math" panose="02040503050406030204" pitchFamily="18" charset="0"/>
                          <a:ea typeface="+mn-ea"/>
                          <a:cs typeface="+mn-cs"/>
                        </a:rPr>
                        <m:t>𝑗</m:t>
                      </m:r>
                      <m:r>
                        <a:rPr lang="nl-BE" sz="1100" b="0" i="1">
                          <a:solidFill>
                            <a:schemeClr val="tx1"/>
                          </a:solidFill>
                          <a:effectLst/>
                          <a:latin typeface="Cambria Math" panose="02040503050406030204" pitchFamily="18" charset="0"/>
                          <a:ea typeface="+mn-ea"/>
                          <a:cs typeface="+mn-cs"/>
                        </a:rPr>
                        <m:t>, </m:t>
                      </m:r>
                      <m:r>
                        <a:rPr lang="nl-BE" sz="1100" b="0" i="1">
                          <a:solidFill>
                            <a:schemeClr val="tx1"/>
                          </a:solidFill>
                          <a:effectLst/>
                          <a:latin typeface="Cambria Math" panose="02040503050406030204" pitchFamily="18" charset="0"/>
                          <a:ea typeface="+mn-ea"/>
                          <a:cs typeface="+mn-cs"/>
                        </a:rPr>
                        <m:t>𝑘</m:t>
                      </m:r>
                    </m:sub>
                  </m:sSub>
                  <m:r>
                    <a:rPr lang="nl-BE" sz="1100" b="0" i="0">
                      <a:solidFill>
                        <a:schemeClr val="tx1"/>
                      </a:solidFill>
                      <a:effectLst/>
                      <a:latin typeface="Cambria Math" panose="02040503050406030204" pitchFamily="18" charset="0"/>
                      <a:ea typeface="+mn-ea"/>
                      <a:cs typeface="+mn-cs"/>
                    </a:rPr>
                    <m:t> − </m:t>
                  </m:r>
                  <m:sSub>
                    <m:sSubPr>
                      <m:ctrlPr>
                        <a:rPr lang="nl-BE" sz="1100" b="0" i="1">
                          <a:solidFill>
                            <a:schemeClr val="tx1"/>
                          </a:solidFill>
                          <a:effectLst/>
                          <a:latin typeface="Cambria Math" panose="02040503050406030204" pitchFamily="18" charset="0"/>
                          <a:ea typeface="+mn-ea"/>
                          <a:cs typeface="+mn-cs"/>
                        </a:rPr>
                      </m:ctrlPr>
                    </m:sSubPr>
                    <m:e>
                      <m:r>
                        <a:rPr lang="nl-BE" sz="1100" b="0" i="1">
                          <a:solidFill>
                            <a:schemeClr val="tx1"/>
                          </a:solidFill>
                          <a:effectLst/>
                          <a:latin typeface="Cambria Math" panose="02040503050406030204" pitchFamily="18" charset="0"/>
                          <a:ea typeface="+mn-ea"/>
                          <a:cs typeface="+mn-cs"/>
                        </a:rPr>
                        <m:t>𝑇</m:t>
                      </m:r>
                    </m:e>
                    <m:sub>
                      <m:r>
                        <a:rPr lang="nl-BE" sz="1100" b="0" i="1">
                          <a:solidFill>
                            <a:schemeClr val="tx1"/>
                          </a:solidFill>
                          <a:effectLst/>
                          <a:latin typeface="Cambria Math" panose="02040503050406030204" pitchFamily="18" charset="0"/>
                          <a:ea typeface="+mn-ea"/>
                          <a:cs typeface="+mn-cs"/>
                        </a:rPr>
                        <m:t>𝑀𝑃</m:t>
                      </m:r>
                      <m:r>
                        <a:rPr lang="nl-BE" sz="1100" b="0" i="1">
                          <a:solidFill>
                            <a:schemeClr val="tx1"/>
                          </a:solidFill>
                          <a:effectLst/>
                          <a:latin typeface="Cambria Math" panose="02040503050406030204" pitchFamily="18" charset="0"/>
                          <a:ea typeface="+mn-ea"/>
                          <a:cs typeface="+mn-cs"/>
                        </a:rPr>
                        <m:t>−</m:t>
                      </m:r>
                      <m:r>
                        <a:rPr lang="nl-BE" sz="1100" b="0" i="1">
                          <a:solidFill>
                            <a:schemeClr val="tx1"/>
                          </a:solidFill>
                          <a:effectLst/>
                          <a:latin typeface="Cambria Math" panose="02040503050406030204" pitchFamily="18" charset="0"/>
                          <a:ea typeface="+mn-ea"/>
                          <a:cs typeface="+mn-cs"/>
                        </a:rPr>
                        <m:t>𝑇𝑉</m:t>
                      </m:r>
                      <m:r>
                        <a:rPr lang="nl-BE" sz="1100" b="0" i="1">
                          <a:solidFill>
                            <a:schemeClr val="tx1"/>
                          </a:solidFill>
                          <a:effectLst/>
                          <a:latin typeface="Cambria Math" panose="02040503050406030204" pitchFamily="18" charset="0"/>
                          <a:ea typeface="+mn-ea"/>
                          <a:cs typeface="+mn-cs"/>
                        </a:rPr>
                        <m:t>,</m:t>
                      </m:r>
                      <m:r>
                        <a:rPr lang="nl-BE" sz="1100" b="0" i="1">
                          <a:solidFill>
                            <a:schemeClr val="tx1"/>
                          </a:solidFill>
                          <a:effectLst/>
                          <a:latin typeface="Cambria Math" panose="02040503050406030204" pitchFamily="18" charset="0"/>
                          <a:ea typeface="+mn-ea"/>
                          <a:cs typeface="+mn-cs"/>
                        </a:rPr>
                        <m:t>𝑖</m:t>
                      </m:r>
                      <m:r>
                        <a:rPr lang="nl-BE" sz="1100" b="0" i="1">
                          <a:solidFill>
                            <a:schemeClr val="tx1"/>
                          </a:solidFill>
                          <a:effectLst/>
                          <a:latin typeface="Cambria Math" panose="02040503050406030204" pitchFamily="18" charset="0"/>
                          <a:ea typeface="+mn-ea"/>
                          <a:cs typeface="+mn-cs"/>
                        </a:rPr>
                        <m:t>, </m:t>
                      </m:r>
                      <m:r>
                        <a:rPr lang="nl-BE" sz="1100" b="0" i="1">
                          <a:solidFill>
                            <a:schemeClr val="tx1"/>
                          </a:solidFill>
                          <a:effectLst/>
                          <a:latin typeface="Cambria Math" panose="02040503050406030204" pitchFamily="18" charset="0"/>
                          <a:ea typeface="+mn-ea"/>
                          <a:cs typeface="+mn-cs"/>
                        </a:rPr>
                        <m:t>𝑗</m:t>
                      </m:r>
                      <m:r>
                        <a:rPr lang="nl-BE" sz="1100" b="0" i="1">
                          <a:solidFill>
                            <a:schemeClr val="tx1"/>
                          </a:solidFill>
                          <a:effectLst/>
                          <a:latin typeface="Cambria Math" panose="02040503050406030204" pitchFamily="18" charset="0"/>
                          <a:ea typeface="+mn-ea"/>
                          <a:cs typeface="+mn-cs"/>
                        </a:rPr>
                        <m:t>, </m:t>
                      </m:r>
                      <m:r>
                        <a:rPr lang="nl-BE" sz="1100" b="0" i="1">
                          <a:solidFill>
                            <a:schemeClr val="tx1"/>
                          </a:solidFill>
                          <a:effectLst/>
                          <a:latin typeface="Cambria Math" panose="02040503050406030204" pitchFamily="18" charset="0"/>
                          <a:ea typeface="+mn-ea"/>
                          <a:cs typeface="+mn-cs"/>
                        </a:rPr>
                        <m:t>𝑘</m:t>
                      </m:r>
                    </m:sub>
                  </m:sSub>
                  <m:r>
                    <a:rPr lang="nl-BE" sz="1100" b="0" i="1">
                      <a:solidFill>
                        <a:schemeClr val="tx1"/>
                      </a:solidFill>
                      <a:effectLst/>
                      <a:latin typeface="Cambria Math" panose="02040503050406030204" pitchFamily="18" charset="0"/>
                      <a:ea typeface="+mn-ea"/>
                      <a:cs typeface="+mn-cs"/>
                    </a:rPr>
                    <m:t> × ∑ </m:t>
                  </m:r>
                  <m:sSub>
                    <m:sSubPr>
                      <m:ctrlPr>
                        <a:rPr lang="nl-BE" sz="1100" b="0" i="1">
                          <a:solidFill>
                            <a:schemeClr val="tx1"/>
                          </a:solidFill>
                          <a:effectLst/>
                          <a:latin typeface="Cambria Math" panose="02040503050406030204" pitchFamily="18" charset="0"/>
                          <a:ea typeface="+mn-ea"/>
                          <a:cs typeface="+mn-cs"/>
                        </a:rPr>
                      </m:ctrlPr>
                    </m:sSubPr>
                    <m:e>
                      <m:r>
                        <a:rPr lang="nl-BE" sz="1100" b="0" i="1">
                          <a:solidFill>
                            <a:schemeClr val="tx1"/>
                          </a:solidFill>
                          <a:effectLst/>
                          <a:latin typeface="Cambria Math" panose="02040503050406030204" pitchFamily="18" charset="0"/>
                          <a:ea typeface="+mn-ea"/>
                          <a:cs typeface="+mn-cs"/>
                        </a:rPr>
                        <m:t>𝑘𝑊</m:t>
                      </m:r>
                    </m:e>
                    <m:sub>
                      <m:r>
                        <a:rPr lang="nl-BE" sz="1100" b="0" i="1">
                          <a:solidFill>
                            <a:schemeClr val="tx1"/>
                          </a:solidFill>
                          <a:effectLst/>
                          <a:latin typeface="Cambria Math" panose="02040503050406030204" pitchFamily="18" charset="0"/>
                          <a:ea typeface="+mn-ea"/>
                          <a:cs typeface="+mn-cs"/>
                        </a:rPr>
                        <m:t>𝑀𝑃</m:t>
                      </m:r>
                      <m:r>
                        <a:rPr lang="nl-BE" sz="1100" b="0" i="1">
                          <a:solidFill>
                            <a:schemeClr val="tx1"/>
                          </a:solidFill>
                          <a:effectLst/>
                          <a:latin typeface="Cambria Math" panose="02040503050406030204" pitchFamily="18" charset="0"/>
                          <a:ea typeface="+mn-ea"/>
                          <a:cs typeface="+mn-cs"/>
                        </a:rPr>
                        <m:t>−</m:t>
                      </m:r>
                      <m:r>
                        <a:rPr lang="nl-BE" sz="1100" b="0" i="1">
                          <a:solidFill>
                            <a:schemeClr val="tx1"/>
                          </a:solidFill>
                          <a:effectLst/>
                          <a:latin typeface="Cambria Math" panose="02040503050406030204" pitchFamily="18" charset="0"/>
                          <a:ea typeface="+mn-ea"/>
                          <a:cs typeface="+mn-cs"/>
                        </a:rPr>
                        <m:t>𝑇𝑉</m:t>
                      </m:r>
                      <m:r>
                        <a:rPr lang="nl-BE" sz="1100" b="0" i="1">
                          <a:solidFill>
                            <a:schemeClr val="tx1"/>
                          </a:solidFill>
                          <a:effectLst/>
                          <a:latin typeface="Cambria Math" panose="02040503050406030204" pitchFamily="18" charset="0"/>
                          <a:ea typeface="+mn-ea"/>
                          <a:cs typeface="+mn-cs"/>
                        </a:rPr>
                        <m:t>,</m:t>
                      </m:r>
                      <m:r>
                        <a:rPr lang="nl-BE" sz="1100" b="0" i="1">
                          <a:solidFill>
                            <a:schemeClr val="tx1"/>
                          </a:solidFill>
                          <a:effectLst/>
                          <a:latin typeface="Cambria Math" panose="02040503050406030204" pitchFamily="18" charset="0"/>
                          <a:ea typeface="+mn-ea"/>
                          <a:cs typeface="+mn-cs"/>
                        </a:rPr>
                        <m:t>𝑖</m:t>
                      </m:r>
                      <m:r>
                        <a:rPr lang="nl-BE" sz="1100" b="0" i="1">
                          <a:solidFill>
                            <a:schemeClr val="tx1"/>
                          </a:solidFill>
                          <a:effectLst/>
                          <a:latin typeface="Cambria Math" panose="02040503050406030204" pitchFamily="18" charset="0"/>
                          <a:ea typeface="+mn-ea"/>
                          <a:cs typeface="+mn-cs"/>
                        </a:rPr>
                        <m:t>, </m:t>
                      </m:r>
                      <m:r>
                        <a:rPr lang="nl-BE" sz="1100" b="0" i="1">
                          <a:solidFill>
                            <a:schemeClr val="tx1"/>
                          </a:solidFill>
                          <a:effectLst/>
                          <a:latin typeface="Cambria Math" panose="02040503050406030204" pitchFamily="18" charset="0"/>
                          <a:ea typeface="+mn-ea"/>
                          <a:cs typeface="+mn-cs"/>
                        </a:rPr>
                        <m:t>𝑗</m:t>
                      </m:r>
                      <m:r>
                        <a:rPr lang="nl-BE" sz="1100" b="0" i="1">
                          <a:solidFill>
                            <a:schemeClr val="tx1"/>
                          </a:solidFill>
                          <a:effectLst/>
                          <a:latin typeface="Cambria Math" panose="02040503050406030204" pitchFamily="18" charset="0"/>
                          <a:ea typeface="+mn-ea"/>
                          <a:cs typeface="+mn-cs"/>
                        </a:rPr>
                        <m:t>, </m:t>
                      </m:r>
                      <m:r>
                        <a:rPr lang="nl-BE" sz="1100" b="0" i="1">
                          <a:solidFill>
                            <a:schemeClr val="tx1"/>
                          </a:solidFill>
                          <a:effectLst/>
                          <a:latin typeface="Cambria Math" panose="02040503050406030204" pitchFamily="18" charset="0"/>
                          <a:ea typeface="+mn-ea"/>
                          <a:cs typeface="+mn-cs"/>
                        </a:rPr>
                        <m:t>𝑘</m:t>
                      </m:r>
                    </m:sub>
                  </m:sSub>
                  <m:r>
                    <a:rPr lang="nl-BE" sz="1100" b="0" i="1">
                      <a:solidFill>
                        <a:schemeClr val="tx1"/>
                      </a:solidFill>
                      <a:effectLst/>
                      <a:latin typeface="Cambria Math" panose="02040503050406030204" pitchFamily="18" charset="0"/>
                      <a:ea typeface="+mn-ea"/>
                      <a:cs typeface="+mn-cs"/>
                    </a:rPr>
                    <m:t>)</m:t>
                  </m:r>
                </m:oMath>
              </a14:m>
              <a:r>
                <a:rPr lang="nl-BE" sz="1100"/>
                <a:t> </a:t>
              </a:r>
            </a:p>
          </xdr:txBody>
        </xdr:sp>
      </mc:Choice>
      <mc:Fallback xmlns="">
        <xdr:sp macro="" textlink="">
          <xdr:nvSpPr>
            <xdr:cNvPr id="28" name="Tekstvak 27">
              <a:extLst>
                <a:ext uri="{FF2B5EF4-FFF2-40B4-BE49-F238E27FC236}">
                  <a16:creationId xmlns:a16="http://schemas.microsoft.com/office/drawing/2014/main" id="{611411AB-F853-4AD7-9107-9B6895A3F55A}"/>
                </a:ext>
              </a:extLst>
            </xdr:cNvPr>
            <xdr:cNvSpPr txBox="1"/>
          </xdr:nvSpPr>
          <xdr:spPr>
            <a:xfrm>
              <a:off x="381000" y="9258300"/>
              <a:ext cx="6758838" cy="1833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lgn="ctr"/>
              <a:r>
                <a:rPr lang="nl-BE" sz="1100" b="0" i="0">
                  <a:latin typeface="Cambria Math" panose="02040503050406030204" pitchFamily="18" charset="0"/>
                </a:rPr>
                <a:t>𝑇_(𝑇𝑉,𝑖, 𝑗, 𝑘)  </a:t>
              </a:r>
              <a:r>
                <a:rPr lang="nl-BE" sz="1100" b="0" i="0">
                  <a:latin typeface="Cambria Math" panose="02040503050406030204" pitchFamily="18" charset="0"/>
                  <a:ea typeface="Cambria Math" panose="02040503050406030204" pitchFamily="18" charset="0"/>
                </a:rPr>
                <a:t>× </a:t>
              </a:r>
              <a:r>
                <a:rPr lang="nl-BE" sz="1100" b="0" i="0">
                  <a:solidFill>
                    <a:schemeClr val="tx1"/>
                  </a:solidFill>
                  <a:effectLst/>
                  <a:latin typeface="Cambria Math" panose="02040503050406030204" pitchFamily="18" charset="0"/>
                  <a:ea typeface="+mn-ea"/>
                  <a:cs typeface="+mn-cs"/>
                </a:rPr>
                <a:t>∑ </a:t>
              </a:r>
              <a:r>
                <a:rPr lang="nl-BE" sz="1100" b="0" i="0">
                  <a:latin typeface="Cambria Math" panose="02040503050406030204" pitchFamily="18" charset="0"/>
                  <a:ea typeface="Cambria Math" panose="02040503050406030204" pitchFamily="18" charset="0"/>
                </a:rPr>
                <a:t>〖𝑘𝑉𝐴〗_(𝑇𝑉,𝑖, 𝑗, 𝑘)= </a:t>
              </a:r>
              <a:r>
                <a:rPr lang="nl-BE" sz="1100" b="0" i="0">
                  <a:solidFill>
                    <a:schemeClr val="tx1"/>
                  </a:solidFill>
                  <a:effectLst/>
                  <a:latin typeface="Cambria Math" panose="02040503050406030204" pitchFamily="18" charset="0"/>
                  <a:ea typeface="+mn-ea"/>
                  <a:cs typeface="+mn-cs"/>
                </a:rPr>
                <a:t>𝑇_(𝑀𝑃,𝑖, 𝑗, 𝑘)  × ∑ 〖𝑘𝑊〗_(𝑀𝑃,𝑖, 𝑗, 𝑘)=50% </a:t>
              </a:r>
              <a:r>
                <a:rPr lang="nl-BE" sz="1100" b="0" i="0">
                  <a:solidFill>
                    <a:schemeClr val="tx1"/>
                  </a:solidFill>
                  <a:effectLst/>
                  <a:latin typeface="Cambria Math" panose="02040503050406030204" pitchFamily="18" charset="0"/>
                  <a:ea typeface="Cambria Math" panose="02040503050406030204" pitchFamily="18" charset="0"/>
                  <a:cs typeface="+mn-cs"/>
                </a:rPr>
                <a:t>×(</a:t>
              </a:r>
              <a:r>
                <a:rPr lang="nl-BE" sz="1100" b="0" i="0">
                  <a:solidFill>
                    <a:schemeClr val="tx1"/>
                  </a:solidFill>
                  <a:effectLst/>
                  <a:latin typeface="Cambria Math" panose="02040503050406030204" pitchFamily="18" charset="0"/>
                  <a:ea typeface="+mn-ea"/>
                  <a:cs typeface="+mn-cs"/>
                </a:rPr>
                <a:t>𝐵_(𝑁𝑒𝑡𝑔𝑒𝑏𝑟𝑢𝑖𝑘,𝑖, 𝑗, 𝑘)  − 𝑇_(𝑀𝑃−𝑇𝑉,𝑖, 𝑗, 𝑘)  × ∑ 〖𝑘𝑊〗_(𝑀𝑃−𝑇𝑉,𝑖, 𝑗, 𝑘))</a:t>
              </a:r>
              <a:r>
                <a:rPr lang="nl-BE" sz="1100"/>
                <a:t> </a:t>
              </a:r>
            </a:p>
          </xdr:txBody>
        </xdr:sp>
      </mc:Fallback>
    </mc:AlternateContent>
    <xdr:clientData/>
  </xdr:oneCellAnchor>
  <xdr:oneCellAnchor>
    <xdr:from>
      <xdr:col>1</xdr:col>
      <xdr:colOff>0</xdr:colOff>
      <xdr:row>100</xdr:row>
      <xdr:rowOff>0</xdr:rowOff>
    </xdr:from>
    <xdr:ext cx="2077556" cy="183192"/>
    <mc:AlternateContent xmlns:mc="http://schemas.openxmlformats.org/markup-compatibility/2006" xmlns:a14="http://schemas.microsoft.com/office/drawing/2010/main">
      <mc:Choice Requires="a14">
        <xdr:sp macro="" textlink="">
          <xdr:nvSpPr>
            <xdr:cNvPr id="29" name="Tekstvak 28">
              <a:extLst>
                <a:ext uri="{FF2B5EF4-FFF2-40B4-BE49-F238E27FC236}">
                  <a16:creationId xmlns:a16="http://schemas.microsoft.com/office/drawing/2014/main" id="{AF844C41-D774-4A23-B887-9C235BBC16A2}"/>
                </a:ext>
              </a:extLst>
            </xdr:cNvPr>
            <xdr:cNvSpPr txBox="1"/>
          </xdr:nvSpPr>
          <xdr:spPr>
            <a:xfrm>
              <a:off x="381000" y="9639300"/>
              <a:ext cx="2077556" cy="18319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
                  </m:oMathParaPr>
                  <m:oMath xmlns:m="http://schemas.openxmlformats.org/officeDocument/2006/math">
                    <m:sSub>
                      <m:sSubPr>
                        <m:ctrlPr>
                          <a:rPr lang="nl-BE" sz="1100" i="1">
                            <a:latin typeface="Cambria Math" panose="02040503050406030204" pitchFamily="18" charset="0"/>
                          </a:rPr>
                        </m:ctrlPr>
                      </m:sSubPr>
                      <m:e>
                        <m:r>
                          <a:rPr lang="nl-BE" sz="1100" b="0" i="1">
                            <a:latin typeface="Cambria Math" panose="02040503050406030204" pitchFamily="18" charset="0"/>
                          </a:rPr>
                          <m:t>𝑇</m:t>
                        </m:r>
                      </m:e>
                      <m:sub>
                        <m:r>
                          <a:rPr lang="nl-BE" sz="1100" b="0" i="1">
                            <a:latin typeface="Cambria Math" panose="02040503050406030204" pitchFamily="18" charset="0"/>
                          </a:rPr>
                          <m:t>𝑀𝑃</m:t>
                        </m:r>
                        <m:r>
                          <a:rPr lang="nl-BE" sz="1100" b="0" i="1">
                            <a:latin typeface="Cambria Math" panose="02040503050406030204" pitchFamily="18" charset="0"/>
                          </a:rPr>
                          <m:t>−</m:t>
                        </m:r>
                        <m:r>
                          <a:rPr lang="nl-BE" sz="1100" b="0" i="1">
                            <a:latin typeface="Cambria Math" panose="02040503050406030204" pitchFamily="18" charset="0"/>
                          </a:rPr>
                          <m:t>𝑇𝑉</m:t>
                        </m:r>
                        <m:r>
                          <a:rPr lang="nl-BE" sz="1100" b="0" i="1">
                            <a:latin typeface="Cambria Math" panose="02040503050406030204" pitchFamily="18" charset="0"/>
                          </a:rPr>
                          <m:t>,</m:t>
                        </m:r>
                        <m:r>
                          <a:rPr lang="nl-BE" sz="1100" b="0" i="1">
                            <a:latin typeface="Cambria Math" panose="02040503050406030204" pitchFamily="18" charset="0"/>
                          </a:rPr>
                          <m:t>𝑖</m:t>
                        </m:r>
                        <m:r>
                          <a:rPr lang="nl-BE" sz="1100" b="0" i="1">
                            <a:latin typeface="Cambria Math" panose="02040503050406030204" pitchFamily="18" charset="0"/>
                          </a:rPr>
                          <m:t>, </m:t>
                        </m:r>
                        <m:r>
                          <a:rPr lang="nl-BE" sz="1100" b="0" i="1">
                            <a:latin typeface="Cambria Math" panose="02040503050406030204" pitchFamily="18" charset="0"/>
                          </a:rPr>
                          <m:t>𝑗</m:t>
                        </m:r>
                        <m:r>
                          <a:rPr lang="nl-BE" sz="1100" b="0" i="1">
                            <a:latin typeface="Cambria Math" panose="02040503050406030204" pitchFamily="18" charset="0"/>
                          </a:rPr>
                          <m:t>, </m:t>
                        </m:r>
                        <m:r>
                          <a:rPr lang="nl-BE" sz="1100" b="0" i="1">
                            <a:latin typeface="Cambria Math" panose="02040503050406030204" pitchFamily="18" charset="0"/>
                          </a:rPr>
                          <m:t>𝑘</m:t>
                        </m:r>
                      </m:sub>
                    </m:sSub>
                    <m:r>
                      <a:rPr lang="nl-BE" sz="1100" b="0" i="1">
                        <a:latin typeface="Cambria Math" panose="02040503050406030204" pitchFamily="18" charset="0"/>
                      </a:rPr>
                      <m:t>=1,5 </m:t>
                    </m:r>
                    <m:r>
                      <a:rPr lang="nl-BE" sz="1100" b="0" i="1">
                        <a:latin typeface="Cambria Math" panose="02040503050406030204" pitchFamily="18" charset="0"/>
                        <a:ea typeface="Cambria Math" panose="02040503050406030204" pitchFamily="18" charset="0"/>
                      </a:rPr>
                      <m:t>× </m:t>
                    </m:r>
                    <m:sSub>
                      <m:sSubPr>
                        <m:ctrlPr>
                          <a:rPr lang="nl-BE" sz="1100" b="0" i="1">
                            <a:latin typeface="Cambria Math" panose="02040503050406030204" pitchFamily="18" charset="0"/>
                            <a:ea typeface="Cambria Math" panose="02040503050406030204" pitchFamily="18" charset="0"/>
                          </a:rPr>
                        </m:ctrlPr>
                      </m:sSubPr>
                      <m:e>
                        <m:r>
                          <a:rPr lang="nl-BE" sz="1100" b="0" i="1">
                            <a:latin typeface="Cambria Math" panose="02040503050406030204" pitchFamily="18" charset="0"/>
                            <a:ea typeface="Cambria Math" panose="02040503050406030204" pitchFamily="18" charset="0"/>
                          </a:rPr>
                          <m:t>𝑇</m:t>
                        </m:r>
                      </m:e>
                      <m:sub>
                        <m:r>
                          <a:rPr lang="nl-BE" sz="1100" b="0" i="1">
                            <a:latin typeface="Cambria Math" panose="02040503050406030204" pitchFamily="18" charset="0"/>
                            <a:ea typeface="Cambria Math" panose="02040503050406030204" pitchFamily="18" charset="0"/>
                          </a:rPr>
                          <m:t>𝑇𝑉</m:t>
                        </m:r>
                        <m:r>
                          <a:rPr lang="nl-BE" sz="1100" b="0" i="1">
                            <a:latin typeface="Cambria Math" panose="02040503050406030204" pitchFamily="18" charset="0"/>
                            <a:ea typeface="Cambria Math" panose="02040503050406030204" pitchFamily="18" charset="0"/>
                          </a:rPr>
                          <m:t>,</m:t>
                        </m:r>
                        <m:r>
                          <a:rPr lang="nl-BE" sz="1100" b="0" i="1">
                            <a:latin typeface="Cambria Math" panose="02040503050406030204" pitchFamily="18" charset="0"/>
                            <a:ea typeface="Cambria Math" panose="02040503050406030204" pitchFamily="18" charset="0"/>
                          </a:rPr>
                          <m:t>𝑖</m:t>
                        </m:r>
                        <m:r>
                          <a:rPr lang="nl-BE" sz="1100" b="0" i="1">
                            <a:latin typeface="Cambria Math" panose="02040503050406030204" pitchFamily="18" charset="0"/>
                            <a:ea typeface="Cambria Math" panose="02040503050406030204" pitchFamily="18" charset="0"/>
                          </a:rPr>
                          <m:t>, </m:t>
                        </m:r>
                        <m:r>
                          <a:rPr lang="nl-BE" sz="1100" b="0" i="1">
                            <a:latin typeface="Cambria Math" panose="02040503050406030204" pitchFamily="18" charset="0"/>
                            <a:ea typeface="Cambria Math" panose="02040503050406030204" pitchFamily="18" charset="0"/>
                          </a:rPr>
                          <m:t>𝑗</m:t>
                        </m:r>
                        <m:r>
                          <a:rPr lang="nl-BE" sz="1100" b="0" i="1">
                            <a:latin typeface="Cambria Math" panose="02040503050406030204" pitchFamily="18" charset="0"/>
                            <a:ea typeface="Cambria Math" panose="02040503050406030204" pitchFamily="18" charset="0"/>
                          </a:rPr>
                          <m:t>, </m:t>
                        </m:r>
                        <m:r>
                          <a:rPr lang="nl-BE" sz="1100" b="0" i="1">
                            <a:latin typeface="Cambria Math" panose="02040503050406030204" pitchFamily="18" charset="0"/>
                            <a:ea typeface="Cambria Math" panose="02040503050406030204" pitchFamily="18" charset="0"/>
                          </a:rPr>
                          <m:t>𝑘</m:t>
                        </m:r>
                      </m:sub>
                    </m:sSub>
                    <m:r>
                      <a:rPr lang="nl-BE" sz="1100" b="0" i="1">
                        <a:latin typeface="Cambria Math" panose="02040503050406030204" pitchFamily="18" charset="0"/>
                        <a:ea typeface="Cambria Math" panose="02040503050406030204" pitchFamily="18" charset="0"/>
                      </a:rPr>
                      <m:t> ÷12</m:t>
                    </m:r>
                  </m:oMath>
                </m:oMathPara>
              </a14:m>
              <a:endParaRPr lang="nl-BE" sz="1100"/>
            </a:p>
          </xdr:txBody>
        </xdr:sp>
      </mc:Choice>
      <mc:Fallback xmlns="">
        <xdr:sp macro="" textlink="">
          <xdr:nvSpPr>
            <xdr:cNvPr id="29" name="Tekstvak 28">
              <a:extLst>
                <a:ext uri="{FF2B5EF4-FFF2-40B4-BE49-F238E27FC236}">
                  <a16:creationId xmlns:a16="http://schemas.microsoft.com/office/drawing/2014/main" id="{AF844C41-D774-4A23-B887-9C235BBC16A2}"/>
                </a:ext>
              </a:extLst>
            </xdr:cNvPr>
            <xdr:cNvSpPr txBox="1"/>
          </xdr:nvSpPr>
          <xdr:spPr>
            <a:xfrm>
              <a:off x="381000" y="9639300"/>
              <a:ext cx="2077556" cy="18319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nl-BE" sz="1100" b="0" i="0">
                  <a:latin typeface="Cambria Math" panose="02040503050406030204" pitchFamily="18" charset="0"/>
                </a:rPr>
                <a:t>𝑇_(𝑀𝑃−𝑇𝑉,𝑖, 𝑗, 𝑘)=1,5 </a:t>
              </a:r>
              <a:r>
                <a:rPr lang="nl-BE" sz="1100" b="0" i="0">
                  <a:latin typeface="Cambria Math" panose="02040503050406030204" pitchFamily="18" charset="0"/>
                  <a:ea typeface="Cambria Math" panose="02040503050406030204" pitchFamily="18" charset="0"/>
                </a:rPr>
                <a:t>× 𝑇_(𝑇𝑉,𝑖, 𝑗, 𝑘)  ÷12</a:t>
              </a:r>
              <a:endParaRPr lang="nl-BE" sz="1100"/>
            </a:p>
          </xdr:txBody>
        </xdr:sp>
      </mc:Fallback>
    </mc:AlternateContent>
    <xdr:clientData/>
  </xdr:oneCellAnchor>
  <xdr:oneCellAnchor>
    <xdr:from>
      <xdr:col>1</xdr:col>
      <xdr:colOff>0</xdr:colOff>
      <xdr:row>104</xdr:row>
      <xdr:rowOff>0</xdr:rowOff>
    </xdr:from>
    <xdr:ext cx="5370381" cy="183320"/>
    <mc:AlternateContent xmlns:mc="http://schemas.openxmlformats.org/markup-compatibility/2006" xmlns:a14="http://schemas.microsoft.com/office/drawing/2010/main">
      <mc:Choice Requires="a14">
        <xdr:sp macro="" textlink="">
          <xdr:nvSpPr>
            <xdr:cNvPr id="30" name="Tekstvak 29">
              <a:extLst>
                <a:ext uri="{FF2B5EF4-FFF2-40B4-BE49-F238E27FC236}">
                  <a16:creationId xmlns:a16="http://schemas.microsoft.com/office/drawing/2014/main" id="{7863AE48-888B-43C7-A8A5-9BE3DAC333E9}"/>
                </a:ext>
              </a:extLst>
            </xdr:cNvPr>
            <xdr:cNvSpPr txBox="1"/>
          </xdr:nvSpPr>
          <xdr:spPr>
            <a:xfrm>
              <a:off x="381000" y="10401300"/>
              <a:ext cx="5370381" cy="1833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
                  </m:oMathParaPr>
                  <m:oMath xmlns:m="http://schemas.openxmlformats.org/officeDocument/2006/math">
                    <m:sSub>
                      <m:sSubPr>
                        <m:ctrlPr>
                          <a:rPr lang="nl-BE" sz="1100" i="1">
                            <a:latin typeface="Cambria Math" panose="02040503050406030204" pitchFamily="18" charset="0"/>
                          </a:rPr>
                        </m:ctrlPr>
                      </m:sSubPr>
                      <m:e>
                        <m:r>
                          <a:rPr lang="nl-BE" sz="1100" b="0" i="1">
                            <a:latin typeface="Cambria Math" panose="02040503050406030204" pitchFamily="18" charset="0"/>
                          </a:rPr>
                          <m:t>𝐵</m:t>
                        </m:r>
                      </m:e>
                      <m:sub>
                        <m:r>
                          <a:rPr lang="nl-BE" sz="1100" b="0" i="1">
                            <a:latin typeface="Cambria Math" panose="02040503050406030204" pitchFamily="18" charset="0"/>
                          </a:rPr>
                          <m:t>𝑁𝑒𝑡𝑔𝑒𝑏𝑟𝑢𝑖𝑘</m:t>
                        </m:r>
                        <m:r>
                          <a:rPr lang="nl-BE" sz="1100" b="0" i="1">
                            <a:latin typeface="Cambria Math" panose="02040503050406030204" pitchFamily="18" charset="0"/>
                          </a:rPr>
                          <m:t>,</m:t>
                        </m:r>
                        <m:r>
                          <a:rPr lang="nl-BE" sz="1100" b="0" i="1">
                            <a:latin typeface="Cambria Math" panose="02040503050406030204" pitchFamily="18" charset="0"/>
                          </a:rPr>
                          <m:t>𝑖</m:t>
                        </m:r>
                        <m:r>
                          <a:rPr lang="nl-BE" sz="1100" b="0" i="1">
                            <a:latin typeface="Cambria Math" panose="02040503050406030204" pitchFamily="18" charset="0"/>
                          </a:rPr>
                          <m:t>, </m:t>
                        </m:r>
                        <m:r>
                          <a:rPr lang="nl-BE" sz="1100" b="0" i="1">
                            <a:latin typeface="Cambria Math" panose="02040503050406030204" pitchFamily="18" charset="0"/>
                          </a:rPr>
                          <m:t>𝑗</m:t>
                        </m:r>
                        <m:r>
                          <a:rPr lang="nl-BE" sz="1100" b="0" i="1">
                            <a:latin typeface="Cambria Math" panose="02040503050406030204" pitchFamily="18" charset="0"/>
                          </a:rPr>
                          <m:t>, </m:t>
                        </m:r>
                        <m:r>
                          <a:rPr lang="nl-BE" sz="1100" b="0" i="1">
                            <a:latin typeface="Cambria Math" panose="02040503050406030204" pitchFamily="18" charset="0"/>
                          </a:rPr>
                          <m:t>𝑘</m:t>
                        </m:r>
                      </m:sub>
                    </m:sSub>
                    <m:r>
                      <a:rPr lang="nl-BE" sz="1100" b="0" i="1">
                        <a:latin typeface="Cambria Math" panose="02040503050406030204" pitchFamily="18" charset="0"/>
                      </a:rPr>
                      <m:t>=2 </m:t>
                    </m:r>
                    <m:r>
                      <a:rPr lang="nl-BE" sz="1100" b="0" i="1">
                        <a:latin typeface="Cambria Math" panose="02040503050406030204" pitchFamily="18" charset="0"/>
                        <a:ea typeface="Cambria Math" panose="02040503050406030204" pitchFamily="18" charset="0"/>
                      </a:rPr>
                      <m:t>× </m:t>
                    </m:r>
                    <m:sSub>
                      <m:sSubPr>
                        <m:ctrlPr>
                          <a:rPr lang="nl-BE" sz="1100" b="0" i="1">
                            <a:latin typeface="Cambria Math" panose="02040503050406030204" pitchFamily="18" charset="0"/>
                          </a:rPr>
                        </m:ctrlPr>
                      </m:sSubPr>
                      <m:e>
                        <m:r>
                          <a:rPr lang="nl-BE" sz="1100" b="0" i="1">
                            <a:latin typeface="Cambria Math" panose="02040503050406030204" pitchFamily="18" charset="0"/>
                          </a:rPr>
                          <m:t>𝑇</m:t>
                        </m:r>
                      </m:e>
                      <m:sub>
                        <m:r>
                          <a:rPr lang="nl-BE" sz="1100" b="0" i="1">
                            <a:latin typeface="Cambria Math" panose="02040503050406030204" pitchFamily="18" charset="0"/>
                          </a:rPr>
                          <m:t>𝑇𝑉</m:t>
                        </m:r>
                        <m:r>
                          <a:rPr lang="nl-BE" sz="1100" b="0" i="1">
                            <a:latin typeface="Cambria Math" panose="02040503050406030204" pitchFamily="18" charset="0"/>
                          </a:rPr>
                          <m:t>,</m:t>
                        </m:r>
                        <m:r>
                          <a:rPr lang="nl-BE" sz="1100" b="0" i="1">
                            <a:latin typeface="Cambria Math" panose="02040503050406030204" pitchFamily="18" charset="0"/>
                          </a:rPr>
                          <m:t>𝑖</m:t>
                        </m:r>
                        <m:r>
                          <a:rPr lang="nl-BE" sz="1100" b="0" i="1">
                            <a:latin typeface="Cambria Math" panose="02040503050406030204" pitchFamily="18" charset="0"/>
                          </a:rPr>
                          <m:t>, </m:t>
                        </m:r>
                        <m:r>
                          <a:rPr lang="nl-BE" sz="1100" b="0" i="1">
                            <a:latin typeface="Cambria Math" panose="02040503050406030204" pitchFamily="18" charset="0"/>
                          </a:rPr>
                          <m:t>𝑗</m:t>
                        </m:r>
                        <m:r>
                          <a:rPr lang="nl-BE" sz="1100" b="0" i="1">
                            <a:latin typeface="Cambria Math" panose="02040503050406030204" pitchFamily="18" charset="0"/>
                          </a:rPr>
                          <m:t>, </m:t>
                        </m:r>
                        <m:r>
                          <a:rPr lang="nl-BE" sz="1100" b="0" i="1">
                            <a:latin typeface="Cambria Math" panose="02040503050406030204" pitchFamily="18" charset="0"/>
                          </a:rPr>
                          <m:t>𝑘</m:t>
                        </m:r>
                      </m:sub>
                    </m:sSub>
                    <m:r>
                      <a:rPr lang="nl-BE" sz="1100" b="0" i="1">
                        <a:latin typeface="Cambria Math" panose="02040503050406030204" pitchFamily="18" charset="0"/>
                      </a:rPr>
                      <m:t> </m:t>
                    </m:r>
                    <m:r>
                      <a:rPr lang="nl-BE" sz="1100" b="0" i="1">
                        <a:latin typeface="Cambria Math" panose="02040503050406030204" pitchFamily="18" charset="0"/>
                        <a:ea typeface="Cambria Math" panose="02040503050406030204" pitchFamily="18" charset="0"/>
                      </a:rPr>
                      <m:t>× </m:t>
                    </m:r>
                    <m:r>
                      <a:rPr lang="nl-BE" sz="1100" b="0" i="1">
                        <a:solidFill>
                          <a:schemeClr val="tx1"/>
                        </a:solidFill>
                        <a:effectLst/>
                        <a:latin typeface="Cambria Math" panose="02040503050406030204" pitchFamily="18" charset="0"/>
                        <a:ea typeface="+mn-ea"/>
                        <a:cs typeface="+mn-cs"/>
                      </a:rPr>
                      <m:t>∑ </m:t>
                    </m:r>
                    <m:sSub>
                      <m:sSubPr>
                        <m:ctrlPr>
                          <a:rPr lang="nl-BE" sz="1100" b="0" i="1">
                            <a:latin typeface="Cambria Math" panose="02040503050406030204" pitchFamily="18" charset="0"/>
                            <a:ea typeface="Cambria Math" panose="02040503050406030204" pitchFamily="18" charset="0"/>
                          </a:rPr>
                        </m:ctrlPr>
                      </m:sSubPr>
                      <m:e>
                        <m:r>
                          <a:rPr lang="nl-BE" sz="1100" b="0" i="1">
                            <a:latin typeface="Cambria Math" panose="02040503050406030204" pitchFamily="18" charset="0"/>
                            <a:ea typeface="Cambria Math" panose="02040503050406030204" pitchFamily="18" charset="0"/>
                          </a:rPr>
                          <m:t>𝑘𝑉𝐴</m:t>
                        </m:r>
                      </m:e>
                      <m:sub>
                        <m:r>
                          <a:rPr lang="nl-BE" sz="1100" b="0" i="1">
                            <a:latin typeface="Cambria Math" panose="02040503050406030204" pitchFamily="18" charset="0"/>
                            <a:ea typeface="Cambria Math" panose="02040503050406030204" pitchFamily="18" charset="0"/>
                          </a:rPr>
                          <m:t>𝑇𝑉</m:t>
                        </m:r>
                        <m:r>
                          <a:rPr lang="nl-BE" sz="1100" b="0" i="1">
                            <a:latin typeface="Cambria Math" panose="02040503050406030204" pitchFamily="18" charset="0"/>
                            <a:ea typeface="Cambria Math" panose="02040503050406030204" pitchFamily="18" charset="0"/>
                          </a:rPr>
                          <m:t>,</m:t>
                        </m:r>
                        <m:r>
                          <a:rPr lang="nl-BE" sz="1100" b="0" i="1">
                            <a:latin typeface="Cambria Math" panose="02040503050406030204" pitchFamily="18" charset="0"/>
                            <a:ea typeface="Cambria Math" panose="02040503050406030204" pitchFamily="18" charset="0"/>
                          </a:rPr>
                          <m:t>𝑖</m:t>
                        </m:r>
                        <m:r>
                          <a:rPr lang="nl-BE" sz="1100" b="0" i="1">
                            <a:latin typeface="Cambria Math" panose="02040503050406030204" pitchFamily="18" charset="0"/>
                            <a:ea typeface="Cambria Math" panose="02040503050406030204" pitchFamily="18" charset="0"/>
                          </a:rPr>
                          <m:t>, </m:t>
                        </m:r>
                        <m:r>
                          <a:rPr lang="nl-BE" sz="1100" b="0" i="1">
                            <a:latin typeface="Cambria Math" panose="02040503050406030204" pitchFamily="18" charset="0"/>
                            <a:ea typeface="Cambria Math" panose="02040503050406030204" pitchFamily="18" charset="0"/>
                          </a:rPr>
                          <m:t>𝑗</m:t>
                        </m:r>
                        <m:r>
                          <a:rPr lang="nl-BE" sz="1100" b="0" i="1">
                            <a:latin typeface="Cambria Math" panose="02040503050406030204" pitchFamily="18" charset="0"/>
                            <a:ea typeface="Cambria Math" panose="02040503050406030204" pitchFamily="18" charset="0"/>
                          </a:rPr>
                          <m:t>, </m:t>
                        </m:r>
                        <m:r>
                          <a:rPr lang="nl-BE" sz="1100" b="0" i="1">
                            <a:latin typeface="Cambria Math" panose="02040503050406030204" pitchFamily="18" charset="0"/>
                            <a:ea typeface="Cambria Math" panose="02040503050406030204" pitchFamily="18" charset="0"/>
                          </a:rPr>
                          <m:t>𝑘</m:t>
                        </m:r>
                      </m:sub>
                    </m:sSub>
                    <m:r>
                      <a:rPr lang="nl-BE" sz="1100" b="0" i="1">
                        <a:latin typeface="Cambria Math" panose="02040503050406030204" pitchFamily="18" charset="0"/>
                        <a:ea typeface="Cambria Math" panose="02040503050406030204" pitchFamily="18" charset="0"/>
                      </a:rPr>
                      <m:t>+1,5 × </m:t>
                    </m:r>
                    <m:sSub>
                      <m:sSubPr>
                        <m:ctrlPr>
                          <a:rPr lang="nl-BE" sz="1100" b="0" i="1">
                            <a:latin typeface="Cambria Math" panose="02040503050406030204" pitchFamily="18" charset="0"/>
                            <a:ea typeface="Cambria Math" panose="02040503050406030204" pitchFamily="18" charset="0"/>
                          </a:rPr>
                        </m:ctrlPr>
                      </m:sSubPr>
                      <m:e>
                        <m:r>
                          <a:rPr lang="nl-BE" sz="1100" b="0" i="1">
                            <a:latin typeface="Cambria Math" panose="02040503050406030204" pitchFamily="18" charset="0"/>
                            <a:ea typeface="Cambria Math" panose="02040503050406030204" pitchFamily="18" charset="0"/>
                          </a:rPr>
                          <m:t>𝑇</m:t>
                        </m:r>
                      </m:e>
                      <m:sub>
                        <m:r>
                          <a:rPr lang="nl-BE" sz="1100" b="0" i="1">
                            <a:latin typeface="Cambria Math" panose="02040503050406030204" pitchFamily="18" charset="0"/>
                            <a:ea typeface="Cambria Math" panose="02040503050406030204" pitchFamily="18" charset="0"/>
                          </a:rPr>
                          <m:t>𝑇𝑉</m:t>
                        </m:r>
                        <m:r>
                          <a:rPr lang="nl-BE" sz="1100" b="0" i="1">
                            <a:latin typeface="Cambria Math" panose="02040503050406030204" pitchFamily="18" charset="0"/>
                            <a:ea typeface="Cambria Math" panose="02040503050406030204" pitchFamily="18" charset="0"/>
                          </a:rPr>
                          <m:t>,</m:t>
                        </m:r>
                        <m:r>
                          <a:rPr lang="nl-BE" sz="1100" b="0" i="1">
                            <a:latin typeface="Cambria Math" panose="02040503050406030204" pitchFamily="18" charset="0"/>
                            <a:ea typeface="Cambria Math" panose="02040503050406030204" pitchFamily="18" charset="0"/>
                          </a:rPr>
                          <m:t>𝑖</m:t>
                        </m:r>
                        <m:r>
                          <a:rPr lang="nl-BE" sz="1100" b="0" i="1">
                            <a:latin typeface="Cambria Math" panose="02040503050406030204" pitchFamily="18" charset="0"/>
                            <a:ea typeface="Cambria Math" panose="02040503050406030204" pitchFamily="18" charset="0"/>
                          </a:rPr>
                          <m:t>, </m:t>
                        </m:r>
                        <m:r>
                          <a:rPr lang="nl-BE" sz="1100" b="0" i="1">
                            <a:latin typeface="Cambria Math" panose="02040503050406030204" pitchFamily="18" charset="0"/>
                            <a:ea typeface="Cambria Math" panose="02040503050406030204" pitchFamily="18" charset="0"/>
                          </a:rPr>
                          <m:t>𝑗</m:t>
                        </m:r>
                        <m:r>
                          <a:rPr lang="nl-BE" sz="1100" b="0" i="1">
                            <a:latin typeface="Cambria Math" panose="02040503050406030204" pitchFamily="18" charset="0"/>
                            <a:ea typeface="Cambria Math" panose="02040503050406030204" pitchFamily="18" charset="0"/>
                          </a:rPr>
                          <m:t>, </m:t>
                        </m:r>
                        <m:r>
                          <a:rPr lang="nl-BE" sz="1100" b="0" i="1">
                            <a:latin typeface="Cambria Math" panose="02040503050406030204" pitchFamily="18" charset="0"/>
                            <a:ea typeface="Cambria Math" panose="02040503050406030204" pitchFamily="18" charset="0"/>
                          </a:rPr>
                          <m:t>𝑘</m:t>
                        </m:r>
                      </m:sub>
                    </m:sSub>
                    <m:r>
                      <a:rPr lang="nl-BE" sz="1100" b="0" i="1">
                        <a:latin typeface="Cambria Math" panose="02040503050406030204" pitchFamily="18" charset="0"/>
                        <a:ea typeface="Cambria Math" panose="02040503050406030204" pitchFamily="18" charset="0"/>
                      </a:rPr>
                      <m:t> × </m:t>
                    </m:r>
                    <m:r>
                      <a:rPr lang="nl-BE" sz="1100" b="0" i="1">
                        <a:solidFill>
                          <a:schemeClr val="tx1"/>
                        </a:solidFill>
                        <a:effectLst/>
                        <a:latin typeface="Cambria Math" panose="02040503050406030204" pitchFamily="18" charset="0"/>
                        <a:ea typeface="+mn-ea"/>
                        <a:cs typeface="+mn-cs"/>
                      </a:rPr>
                      <m:t>∑ </m:t>
                    </m:r>
                    <m:sSub>
                      <m:sSubPr>
                        <m:ctrlPr>
                          <a:rPr lang="nl-BE" sz="1100" b="0" i="1">
                            <a:latin typeface="Cambria Math" panose="02040503050406030204" pitchFamily="18" charset="0"/>
                            <a:ea typeface="Cambria Math" panose="02040503050406030204" pitchFamily="18" charset="0"/>
                          </a:rPr>
                        </m:ctrlPr>
                      </m:sSubPr>
                      <m:e>
                        <m:r>
                          <a:rPr lang="nl-BE" sz="1100" b="0" i="1">
                            <a:latin typeface="Cambria Math" panose="02040503050406030204" pitchFamily="18" charset="0"/>
                            <a:ea typeface="Cambria Math" panose="02040503050406030204" pitchFamily="18" charset="0"/>
                          </a:rPr>
                          <m:t>𝑘𝑊</m:t>
                        </m:r>
                      </m:e>
                      <m:sub>
                        <m:r>
                          <a:rPr lang="nl-BE" sz="1100" b="0" i="1">
                            <a:latin typeface="Cambria Math" panose="02040503050406030204" pitchFamily="18" charset="0"/>
                            <a:ea typeface="Cambria Math" panose="02040503050406030204" pitchFamily="18" charset="0"/>
                          </a:rPr>
                          <m:t>𝑀𝑃</m:t>
                        </m:r>
                        <m:r>
                          <a:rPr lang="nl-BE" sz="1100" b="0" i="1">
                            <a:latin typeface="Cambria Math" panose="02040503050406030204" pitchFamily="18" charset="0"/>
                            <a:ea typeface="Cambria Math" panose="02040503050406030204" pitchFamily="18" charset="0"/>
                          </a:rPr>
                          <m:t>−</m:t>
                        </m:r>
                        <m:r>
                          <a:rPr lang="nl-BE" sz="1100" b="0" i="1">
                            <a:latin typeface="Cambria Math" panose="02040503050406030204" pitchFamily="18" charset="0"/>
                            <a:ea typeface="Cambria Math" panose="02040503050406030204" pitchFamily="18" charset="0"/>
                          </a:rPr>
                          <m:t>𝑇𝑉</m:t>
                        </m:r>
                        <m:r>
                          <a:rPr lang="nl-BE" sz="1100" b="0" i="1">
                            <a:latin typeface="Cambria Math" panose="02040503050406030204" pitchFamily="18" charset="0"/>
                            <a:ea typeface="Cambria Math" panose="02040503050406030204" pitchFamily="18" charset="0"/>
                          </a:rPr>
                          <m:t>,</m:t>
                        </m:r>
                        <m:r>
                          <a:rPr lang="nl-BE" sz="1100" b="0" i="1">
                            <a:latin typeface="Cambria Math" panose="02040503050406030204" pitchFamily="18" charset="0"/>
                            <a:ea typeface="Cambria Math" panose="02040503050406030204" pitchFamily="18" charset="0"/>
                          </a:rPr>
                          <m:t>𝑖</m:t>
                        </m:r>
                        <m:r>
                          <a:rPr lang="nl-BE" sz="1100" b="0" i="1">
                            <a:latin typeface="Cambria Math" panose="02040503050406030204" pitchFamily="18" charset="0"/>
                            <a:ea typeface="Cambria Math" panose="02040503050406030204" pitchFamily="18" charset="0"/>
                          </a:rPr>
                          <m:t>, </m:t>
                        </m:r>
                        <m:r>
                          <a:rPr lang="nl-BE" sz="1100" b="0" i="1">
                            <a:latin typeface="Cambria Math" panose="02040503050406030204" pitchFamily="18" charset="0"/>
                            <a:ea typeface="Cambria Math" panose="02040503050406030204" pitchFamily="18" charset="0"/>
                          </a:rPr>
                          <m:t>𝑗</m:t>
                        </m:r>
                        <m:r>
                          <a:rPr lang="nl-BE" sz="1100" b="0" i="1">
                            <a:latin typeface="Cambria Math" panose="02040503050406030204" pitchFamily="18" charset="0"/>
                            <a:ea typeface="Cambria Math" panose="02040503050406030204" pitchFamily="18" charset="0"/>
                          </a:rPr>
                          <m:t>, </m:t>
                        </m:r>
                        <m:r>
                          <a:rPr lang="nl-BE" sz="1100" b="0" i="1">
                            <a:latin typeface="Cambria Math" panose="02040503050406030204" pitchFamily="18" charset="0"/>
                            <a:ea typeface="Cambria Math" panose="02040503050406030204" pitchFamily="18" charset="0"/>
                          </a:rPr>
                          <m:t>𝑘</m:t>
                        </m:r>
                      </m:sub>
                    </m:sSub>
                    <m:r>
                      <a:rPr lang="nl-BE" sz="1100" b="0" i="1">
                        <a:latin typeface="Cambria Math" panose="02040503050406030204" pitchFamily="18" charset="0"/>
                        <a:ea typeface="Cambria Math" panose="02040503050406030204" pitchFamily="18" charset="0"/>
                      </a:rPr>
                      <m:t> ÷12</m:t>
                    </m:r>
                    <m:r>
                      <a:rPr lang="nl-BE" sz="1100" b="0" i="1">
                        <a:latin typeface="Cambria Math" panose="02040503050406030204" pitchFamily="18" charset="0"/>
                      </a:rPr>
                      <m:t> </m:t>
                    </m:r>
                  </m:oMath>
                </m:oMathPara>
              </a14:m>
              <a:endParaRPr lang="nl-BE" sz="1100"/>
            </a:p>
          </xdr:txBody>
        </xdr:sp>
      </mc:Choice>
      <mc:Fallback xmlns="">
        <xdr:sp macro="" textlink="">
          <xdr:nvSpPr>
            <xdr:cNvPr id="30" name="Tekstvak 29">
              <a:extLst>
                <a:ext uri="{FF2B5EF4-FFF2-40B4-BE49-F238E27FC236}">
                  <a16:creationId xmlns:a16="http://schemas.microsoft.com/office/drawing/2014/main" id="{7863AE48-888B-43C7-A8A5-9BE3DAC333E9}"/>
                </a:ext>
              </a:extLst>
            </xdr:cNvPr>
            <xdr:cNvSpPr txBox="1"/>
          </xdr:nvSpPr>
          <xdr:spPr>
            <a:xfrm>
              <a:off x="381000" y="10401300"/>
              <a:ext cx="5370381" cy="1833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nl-BE" sz="1100" b="0" i="0">
                  <a:latin typeface="Cambria Math" panose="02040503050406030204" pitchFamily="18" charset="0"/>
                </a:rPr>
                <a:t>𝐵_(𝑁𝑒𝑡𝑔𝑒𝑏𝑟𝑢𝑖𝑘,𝑖, 𝑗, 𝑘)=2 </a:t>
              </a:r>
              <a:r>
                <a:rPr lang="nl-BE" sz="1100" b="0" i="0">
                  <a:latin typeface="Cambria Math" panose="02040503050406030204" pitchFamily="18" charset="0"/>
                  <a:ea typeface="Cambria Math" panose="02040503050406030204" pitchFamily="18" charset="0"/>
                </a:rPr>
                <a:t>× </a:t>
              </a:r>
              <a:r>
                <a:rPr lang="nl-BE" sz="1100" b="0" i="0">
                  <a:latin typeface="Cambria Math" panose="02040503050406030204" pitchFamily="18" charset="0"/>
                </a:rPr>
                <a:t>𝑇_(𝑇𝑉,𝑖, 𝑗, 𝑘)  </a:t>
              </a:r>
              <a:r>
                <a:rPr lang="nl-BE" sz="1100" b="0" i="0">
                  <a:latin typeface="Cambria Math" panose="02040503050406030204" pitchFamily="18" charset="0"/>
                  <a:ea typeface="Cambria Math" panose="02040503050406030204" pitchFamily="18" charset="0"/>
                </a:rPr>
                <a:t>× </a:t>
              </a:r>
              <a:r>
                <a:rPr lang="nl-BE" sz="1100" b="0" i="0">
                  <a:solidFill>
                    <a:schemeClr val="tx1"/>
                  </a:solidFill>
                  <a:effectLst/>
                  <a:latin typeface="Cambria Math" panose="02040503050406030204" pitchFamily="18" charset="0"/>
                  <a:ea typeface="+mn-ea"/>
                  <a:cs typeface="+mn-cs"/>
                </a:rPr>
                <a:t>∑ </a:t>
              </a:r>
              <a:r>
                <a:rPr lang="nl-BE" sz="1100" b="0" i="0">
                  <a:latin typeface="Cambria Math" panose="02040503050406030204" pitchFamily="18" charset="0"/>
                  <a:ea typeface="Cambria Math" panose="02040503050406030204" pitchFamily="18" charset="0"/>
                </a:rPr>
                <a:t>〖𝑘𝑉𝐴〗_(𝑇𝑉,𝑖, 𝑗, 𝑘)+1,5 × 𝑇_(𝑇𝑉,𝑖, 𝑗, 𝑘)  × </a:t>
              </a:r>
              <a:r>
                <a:rPr lang="nl-BE" sz="1100" b="0" i="0">
                  <a:solidFill>
                    <a:schemeClr val="tx1"/>
                  </a:solidFill>
                  <a:effectLst/>
                  <a:latin typeface="Cambria Math" panose="02040503050406030204" pitchFamily="18" charset="0"/>
                  <a:ea typeface="+mn-ea"/>
                  <a:cs typeface="+mn-cs"/>
                </a:rPr>
                <a:t>∑ </a:t>
              </a:r>
              <a:r>
                <a:rPr lang="nl-BE" sz="1100" b="0" i="0">
                  <a:latin typeface="Cambria Math" panose="02040503050406030204" pitchFamily="18" charset="0"/>
                  <a:ea typeface="Cambria Math" panose="02040503050406030204" pitchFamily="18" charset="0"/>
                </a:rPr>
                <a:t>〖𝑘𝑊〗_(𝑀𝑃−𝑇𝑉,𝑖, 𝑗, 𝑘)  ÷12</a:t>
              </a:r>
              <a:r>
                <a:rPr lang="nl-BE" sz="1100" b="0" i="0">
                  <a:latin typeface="Cambria Math" panose="02040503050406030204" pitchFamily="18" charset="0"/>
                </a:rPr>
                <a:t> </a:t>
              </a:r>
              <a:endParaRPr lang="nl-BE" sz="1100"/>
            </a:p>
          </xdr:txBody>
        </xdr:sp>
      </mc:Fallback>
    </mc:AlternateContent>
    <xdr:clientData/>
  </xdr:oneCellAnchor>
  <xdr:oneCellAnchor>
    <xdr:from>
      <xdr:col>1</xdr:col>
      <xdr:colOff>0</xdr:colOff>
      <xdr:row>108</xdr:row>
      <xdr:rowOff>0</xdr:rowOff>
    </xdr:from>
    <xdr:ext cx="4766626" cy="183320"/>
    <mc:AlternateContent xmlns:mc="http://schemas.openxmlformats.org/markup-compatibility/2006" xmlns:a14="http://schemas.microsoft.com/office/drawing/2010/main">
      <mc:Choice Requires="a14">
        <xdr:sp macro="" textlink="">
          <xdr:nvSpPr>
            <xdr:cNvPr id="31" name="Tekstvak 30">
              <a:extLst>
                <a:ext uri="{FF2B5EF4-FFF2-40B4-BE49-F238E27FC236}">
                  <a16:creationId xmlns:a16="http://schemas.microsoft.com/office/drawing/2014/main" id="{94980BC4-17ED-4FA7-8DB0-E4210084F724}"/>
                </a:ext>
              </a:extLst>
            </xdr:cNvPr>
            <xdr:cNvSpPr txBox="1"/>
          </xdr:nvSpPr>
          <xdr:spPr>
            <a:xfrm>
              <a:off x="381000" y="11163300"/>
              <a:ext cx="4766626" cy="1833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
                  </m:oMathParaPr>
                  <m:oMath xmlns:m="http://schemas.openxmlformats.org/officeDocument/2006/math">
                    <m:sSub>
                      <m:sSubPr>
                        <m:ctrlPr>
                          <a:rPr lang="nl-BE" sz="1100" i="1">
                            <a:latin typeface="Cambria Math" panose="02040503050406030204" pitchFamily="18" charset="0"/>
                          </a:rPr>
                        </m:ctrlPr>
                      </m:sSubPr>
                      <m:e>
                        <m:r>
                          <a:rPr lang="nl-BE" sz="1100" b="0" i="1">
                            <a:latin typeface="Cambria Math" panose="02040503050406030204" pitchFamily="18" charset="0"/>
                          </a:rPr>
                          <m:t>𝐵</m:t>
                        </m:r>
                      </m:e>
                      <m:sub>
                        <m:r>
                          <a:rPr lang="nl-BE" sz="1100" b="0" i="1">
                            <a:latin typeface="Cambria Math" panose="02040503050406030204" pitchFamily="18" charset="0"/>
                          </a:rPr>
                          <m:t>𝑁𝑒𝑡𝑔𝑒𝑏𝑟𝑢𝑖𝑘</m:t>
                        </m:r>
                        <m:r>
                          <a:rPr lang="nl-BE" sz="1100" b="0" i="1">
                            <a:latin typeface="Cambria Math" panose="02040503050406030204" pitchFamily="18" charset="0"/>
                          </a:rPr>
                          <m:t>,</m:t>
                        </m:r>
                        <m:r>
                          <a:rPr lang="nl-BE" sz="1100" b="0" i="1">
                            <a:latin typeface="Cambria Math" panose="02040503050406030204" pitchFamily="18" charset="0"/>
                          </a:rPr>
                          <m:t>𝑖</m:t>
                        </m:r>
                        <m:r>
                          <a:rPr lang="nl-BE" sz="1100" b="0" i="1">
                            <a:latin typeface="Cambria Math" panose="02040503050406030204" pitchFamily="18" charset="0"/>
                          </a:rPr>
                          <m:t>, </m:t>
                        </m:r>
                        <m:r>
                          <a:rPr lang="nl-BE" sz="1100" b="0" i="1">
                            <a:latin typeface="Cambria Math" panose="02040503050406030204" pitchFamily="18" charset="0"/>
                          </a:rPr>
                          <m:t>𝑗</m:t>
                        </m:r>
                        <m:r>
                          <a:rPr lang="nl-BE" sz="1100" b="0" i="1">
                            <a:latin typeface="Cambria Math" panose="02040503050406030204" pitchFamily="18" charset="0"/>
                          </a:rPr>
                          <m:t>, </m:t>
                        </m:r>
                        <m:r>
                          <a:rPr lang="nl-BE" sz="1100" b="0" i="1">
                            <a:latin typeface="Cambria Math" panose="02040503050406030204" pitchFamily="18" charset="0"/>
                          </a:rPr>
                          <m:t>𝑘</m:t>
                        </m:r>
                      </m:sub>
                    </m:sSub>
                    <m:r>
                      <a:rPr lang="nl-BE" sz="1100" b="0" i="1">
                        <a:latin typeface="Cambria Math" panose="02040503050406030204" pitchFamily="18" charset="0"/>
                      </a:rPr>
                      <m:t>=</m:t>
                    </m:r>
                    <m:sSub>
                      <m:sSubPr>
                        <m:ctrlPr>
                          <a:rPr lang="nl-BE" sz="1100" b="0" i="1">
                            <a:solidFill>
                              <a:schemeClr val="tx1"/>
                            </a:solidFill>
                            <a:effectLst/>
                            <a:latin typeface="Cambria Math" panose="02040503050406030204" pitchFamily="18" charset="0"/>
                            <a:ea typeface="+mn-ea"/>
                            <a:cs typeface="+mn-cs"/>
                          </a:rPr>
                        </m:ctrlPr>
                      </m:sSubPr>
                      <m:e>
                        <m:r>
                          <a:rPr lang="nl-BE" sz="1100" b="0" i="1">
                            <a:solidFill>
                              <a:schemeClr val="tx1"/>
                            </a:solidFill>
                            <a:effectLst/>
                            <a:latin typeface="Cambria Math" panose="02040503050406030204" pitchFamily="18" charset="0"/>
                            <a:ea typeface="+mn-ea"/>
                            <a:cs typeface="+mn-cs"/>
                          </a:rPr>
                          <m:t>𝑇</m:t>
                        </m:r>
                      </m:e>
                      <m:sub>
                        <m:r>
                          <a:rPr lang="nl-BE" sz="1100" b="0" i="1">
                            <a:solidFill>
                              <a:schemeClr val="tx1"/>
                            </a:solidFill>
                            <a:effectLst/>
                            <a:latin typeface="Cambria Math" panose="02040503050406030204" pitchFamily="18" charset="0"/>
                            <a:ea typeface="+mn-ea"/>
                            <a:cs typeface="+mn-cs"/>
                          </a:rPr>
                          <m:t>𝑇𝑉</m:t>
                        </m:r>
                        <m:r>
                          <a:rPr lang="nl-BE" sz="1100" b="0" i="1">
                            <a:solidFill>
                              <a:schemeClr val="tx1"/>
                            </a:solidFill>
                            <a:effectLst/>
                            <a:latin typeface="Cambria Math" panose="02040503050406030204" pitchFamily="18" charset="0"/>
                            <a:ea typeface="+mn-ea"/>
                            <a:cs typeface="+mn-cs"/>
                          </a:rPr>
                          <m:t>,</m:t>
                        </m:r>
                        <m:r>
                          <a:rPr lang="nl-BE" sz="1100" b="0" i="1">
                            <a:solidFill>
                              <a:schemeClr val="tx1"/>
                            </a:solidFill>
                            <a:effectLst/>
                            <a:latin typeface="Cambria Math" panose="02040503050406030204" pitchFamily="18" charset="0"/>
                            <a:ea typeface="+mn-ea"/>
                            <a:cs typeface="+mn-cs"/>
                          </a:rPr>
                          <m:t>𝑖</m:t>
                        </m:r>
                        <m:r>
                          <a:rPr lang="nl-BE" sz="1100" b="0" i="1">
                            <a:solidFill>
                              <a:schemeClr val="tx1"/>
                            </a:solidFill>
                            <a:effectLst/>
                            <a:latin typeface="Cambria Math" panose="02040503050406030204" pitchFamily="18" charset="0"/>
                            <a:ea typeface="+mn-ea"/>
                            <a:cs typeface="+mn-cs"/>
                          </a:rPr>
                          <m:t>, </m:t>
                        </m:r>
                        <m:r>
                          <a:rPr lang="nl-BE" sz="1100" b="0" i="1">
                            <a:solidFill>
                              <a:schemeClr val="tx1"/>
                            </a:solidFill>
                            <a:effectLst/>
                            <a:latin typeface="Cambria Math" panose="02040503050406030204" pitchFamily="18" charset="0"/>
                            <a:ea typeface="+mn-ea"/>
                            <a:cs typeface="+mn-cs"/>
                          </a:rPr>
                          <m:t>𝑗</m:t>
                        </m:r>
                        <m:r>
                          <a:rPr lang="nl-BE" sz="1100" b="0" i="1">
                            <a:solidFill>
                              <a:schemeClr val="tx1"/>
                            </a:solidFill>
                            <a:effectLst/>
                            <a:latin typeface="Cambria Math" panose="02040503050406030204" pitchFamily="18" charset="0"/>
                            <a:ea typeface="+mn-ea"/>
                            <a:cs typeface="+mn-cs"/>
                          </a:rPr>
                          <m:t>, </m:t>
                        </m:r>
                        <m:r>
                          <a:rPr lang="nl-BE" sz="1100" b="0" i="1">
                            <a:solidFill>
                              <a:schemeClr val="tx1"/>
                            </a:solidFill>
                            <a:effectLst/>
                            <a:latin typeface="Cambria Math" panose="02040503050406030204" pitchFamily="18" charset="0"/>
                            <a:ea typeface="+mn-ea"/>
                            <a:cs typeface="+mn-cs"/>
                          </a:rPr>
                          <m:t>𝑘</m:t>
                        </m:r>
                      </m:sub>
                    </m:sSub>
                    <m:r>
                      <a:rPr lang="nl-BE" sz="1100" b="0" i="1">
                        <a:solidFill>
                          <a:schemeClr val="tx1"/>
                        </a:solidFill>
                        <a:effectLst/>
                        <a:latin typeface="Cambria Math" panose="02040503050406030204" pitchFamily="18" charset="0"/>
                        <a:ea typeface="+mn-ea"/>
                        <a:cs typeface="+mn-cs"/>
                      </a:rPr>
                      <m:t> </m:t>
                    </m:r>
                    <m:r>
                      <a:rPr lang="nl-BE" sz="1100" b="0" i="1">
                        <a:solidFill>
                          <a:schemeClr val="tx1"/>
                        </a:solidFill>
                        <a:effectLst/>
                        <a:latin typeface="Cambria Math" panose="02040503050406030204" pitchFamily="18" charset="0"/>
                        <a:ea typeface="Cambria Math" panose="02040503050406030204" pitchFamily="18" charset="0"/>
                        <a:cs typeface="+mn-cs"/>
                      </a:rPr>
                      <m:t>×(</m:t>
                    </m:r>
                    <m:r>
                      <a:rPr lang="nl-BE" sz="1100" b="0" i="1">
                        <a:latin typeface="Cambria Math" panose="02040503050406030204" pitchFamily="18" charset="0"/>
                      </a:rPr>
                      <m:t>2 </m:t>
                    </m:r>
                    <m:r>
                      <a:rPr lang="nl-BE" sz="1100" b="0" i="1">
                        <a:latin typeface="Cambria Math" panose="02040503050406030204" pitchFamily="18" charset="0"/>
                        <a:ea typeface="Cambria Math" panose="02040503050406030204" pitchFamily="18" charset="0"/>
                      </a:rPr>
                      <m:t>× </m:t>
                    </m:r>
                    <m:r>
                      <a:rPr lang="nl-BE" sz="1100" b="0" i="1">
                        <a:solidFill>
                          <a:schemeClr val="tx1"/>
                        </a:solidFill>
                        <a:effectLst/>
                        <a:latin typeface="Cambria Math" panose="02040503050406030204" pitchFamily="18" charset="0"/>
                        <a:ea typeface="+mn-ea"/>
                        <a:cs typeface="+mn-cs"/>
                      </a:rPr>
                      <m:t>∑ </m:t>
                    </m:r>
                    <m:sSub>
                      <m:sSubPr>
                        <m:ctrlPr>
                          <a:rPr lang="nl-BE" sz="1100" b="0" i="1">
                            <a:latin typeface="Cambria Math" panose="02040503050406030204" pitchFamily="18" charset="0"/>
                            <a:ea typeface="Cambria Math" panose="02040503050406030204" pitchFamily="18" charset="0"/>
                          </a:rPr>
                        </m:ctrlPr>
                      </m:sSubPr>
                      <m:e>
                        <m:r>
                          <a:rPr lang="nl-BE" sz="1100" b="0" i="1">
                            <a:latin typeface="Cambria Math" panose="02040503050406030204" pitchFamily="18" charset="0"/>
                            <a:ea typeface="Cambria Math" panose="02040503050406030204" pitchFamily="18" charset="0"/>
                          </a:rPr>
                          <m:t>𝑘𝑉𝐴</m:t>
                        </m:r>
                      </m:e>
                      <m:sub>
                        <m:r>
                          <a:rPr lang="nl-BE" sz="1100" b="0" i="1">
                            <a:latin typeface="Cambria Math" panose="02040503050406030204" pitchFamily="18" charset="0"/>
                            <a:ea typeface="Cambria Math" panose="02040503050406030204" pitchFamily="18" charset="0"/>
                          </a:rPr>
                          <m:t>𝑇𝑉</m:t>
                        </m:r>
                        <m:r>
                          <a:rPr lang="nl-BE" sz="1100" b="0" i="1">
                            <a:latin typeface="Cambria Math" panose="02040503050406030204" pitchFamily="18" charset="0"/>
                            <a:ea typeface="Cambria Math" panose="02040503050406030204" pitchFamily="18" charset="0"/>
                          </a:rPr>
                          <m:t>,</m:t>
                        </m:r>
                        <m:r>
                          <a:rPr lang="nl-BE" sz="1100" b="0" i="1">
                            <a:latin typeface="Cambria Math" panose="02040503050406030204" pitchFamily="18" charset="0"/>
                            <a:ea typeface="Cambria Math" panose="02040503050406030204" pitchFamily="18" charset="0"/>
                          </a:rPr>
                          <m:t>𝑖</m:t>
                        </m:r>
                        <m:r>
                          <a:rPr lang="nl-BE" sz="1100" b="0" i="1">
                            <a:latin typeface="Cambria Math" panose="02040503050406030204" pitchFamily="18" charset="0"/>
                            <a:ea typeface="Cambria Math" panose="02040503050406030204" pitchFamily="18" charset="0"/>
                          </a:rPr>
                          <m:t>, </m:t>
                        </m:r>
                        <m:r>
                          <a:rPr lang="nl-BE" sz="1100" b="0" i="1">
                            <a:latin typeface="Cambria Math" panose="02040503050406030204" pitchFamily="18" charset="0"/>
                            <a:ea typeface="Cambria Math" panose="02040503050406030204" pitchFamily="18" charset="0"/>
                          </a:rPr>
                          <m:t>𝑗</m:t>
                        </m:r>
                        <m:r>
                          <a:rPr lang="nl-BE" sz="1100" b="0" i="1">
                            <a:latin typeface="Cambria Math" panose="02040503050406030204" pitchFamily="18" charset="0"/>
                            <a:ea typeface="Cambria Math" panose="02040503050406030204" pitchFamily="18" charset="0"/>
                          </a:rPr>
                          <m:t>, </m:t>
                        </m:r>
                        <m:r>
                          <a:rPr lang="nl-BE" sz="1100" b="0" i="1">
                            <a:latin typeface="Cambria Math" panose="02040503050406030204" pitchFamily="18" charset="0"/>
                            <a:ea typeface="Cambria Math" panose="02040503050406030204" pitchFamily="18" charset="0"/>
                          </a:rPr>
                          <m:t>𝑘</m:t>
                        </m:r>
                      </m:sub>
                    </m:sSub>
                    <m:r>
                      <a:rPr lang="nl-BE" sz="1100" b="0" i="1">
                        <a:latin typeface="Cambria Math" panose="02040503050406030204" pitchFamily="18" charset="0"/>
                        <a:ea typeface="Cambria Math" panose="02040503050406030204" pitchFamily="18" charset="0"/>
                      </a:rPr>
                      <m:t>+1,5 × </m:t>
                    </m:r>
                    <m:r>
                      <a:rPr lang="nl-BE" sz="1100" b="0" i="1">
                        <a:solidFill>
                          <a:schemeClr val="tx1"/>
                        </a:solidFill>
                        <a:effectLst/>
                        <a:latin typeface="Cambria Math" panose="02040503050406030204" pitchFamily="18" charset="0"/>
                        <a:ea typeface="+mn-ea"/>
                        <a:cs typeface="+mn-cs"/>
                      </a:rPr>
                      <m:t>∑ </m:t>
                    </m:r>
                    <m:sSub>
                      <m:sSubPr>
                        <m:ctrlPr>
                          <a:rPr lang="nl-BE" sz="1100" b="0" i="1">
                            <a:latin typeface="Cambria Math" panose="02040503050406030204" pitchFamily="18" charset="0"/>
                            <a:ea typeface="Cambria Math" panose="02040503050406030204" pitchFamily="18" charset="0"/>
                          </a:rPr>
                        </m:ctrlPr>
                      </m:sSubPr>
                      <m:e>
                        <m:r>
                          <a:rPr lang="nl-BE" sz="1100" b="0" i="1">
                            <a:latin typeface="Cambria Math" panose="02040503050406030204" pitchFamily="18" charset="0"/>
                            <a:ea typeface="Cambria Math" panose="02040503050406030204" pitchFamily="18" charset="0"/>
                          </a:rPr>
                          <m:t>𝑘𝑊</m:t>
                        </m:r>
                      </m:e>
                      <m:sub>
                        <m:r>
                          <a:rPr lang="nl-BE" sz="1100" b="0" i="1">
                            <a:latin typeface="Cambria Math" panose="02040503050406030204" pitchFamily="18" charset="0"/>
                            <a:ea typeface="Cambria Math" panose="02040503050406030204" pitchFamily="18" charset="0"/>
                          </a:rPr>
                          <m:t>𝑀𝑃</m:t>
                        </m:r>
                        <m:r>
                          <a:rPr lang="nl-BE" sz="1100" b="0" i="1">
                            <a:latin typeface="Cambria Math" panose="02040503050406030204" pitchFamily="18" charset="0"/>
                            <a:ea typeface="Cambria Math" panose="02040503050406030204" pitchFamily="18" charset="0"/>
                          </a:rPr>
                          <m:t>−</m:t>
                        </m:r>
                        <m:r>
                          <a:rPr lang="nl-BE" sz="1100" b="0" i="1">
                            <a:latin typeface="Cambria Math" panose="02040503050406030204" pitchFamily="18" charset="0"/>
                            <a:ea typeface="Cambria Math" panose="02040503050406030204" pitchFamily="18" charset="0"/>
                          </a:rPr>
                          <m:t>𝑇𝑉</m:t>
                        </m:r>
                        <m:r>
                          <a:rPr lang="nl-BE" sz="1100" b="0" i="1">
                            <a:latin typeface="Cambria Math" panose="02040503050406030204" pitchFamily="18" charset="0"/>
                            <a:ea typeface="Cambria Math" panose="02040503050406030204" pitchFamily="18" charset="0"/>
                          </a:rPr>
                          <m:t>,</m:t>
                        </m:r>
                        <m:r>
                          <a:rPr lang="nl-BE" sz="1100" b="0" i="1">
                            <a:latin typeface="Cambria Math" panose="02040503050406030204" pitchFamily="18" charset="0"/>
                            <a:ea typeface="Cambria Math" panose="02040503050406030204" pitchFamily="18" charset="0"/>
                          </a:rPr>
                          <m:t>𝑖</m:t>
                        </m:r>
                        <m:r>
                          <a:rPr lang="nl-BE" sz="1100" b="0" i="1">
                            <a:latin typeface="Cambria Math" panose="02040503050406030204" pitchFamily="18" charset="0"/>
                            <a:ea typeface="Cambria Math" panose="02040503050406030204" pitchFamily="18" charset="0"/>
                          </a:rPr>
                          <m:t>, </m:t>
                        </m:r>
                        <m:r>
                          <a:rPr lang="nl-BE" sz="1100" b="0" i="1">
                            <a:latin typeface="Cambria Math" panose="02040503050406030204" pitchFamily="18" charset="0"/>
                            <a:ea typeface="Cambria Math" panose="02040503050406030204" pitchFamily="18" charset="0"/>
                          </a:rPr>
                          <m:t>𝑗</m:t>
                        </m:r>
                        <m:r>
                          <a:rPr lang="nl-BE" sz="1100" b="0" i="1">
                            <a:latin typeface="Cambria Math" panose="02040503050406030204" pitchFamily="18" charset="0"/>
                            <a:ea typeface="Cambria Math" panose="02040503050406030204" pitchFamily="18" charset="0"/>
                          </a:rPr>
                          <m:t>, </m:t>
                        </m:r>
                        <m:r>
                          <a:rPr lang="nl-BE" sz="1100" b="0" i="1">
                            <a:latin typeface="Cambria Math" panose="02040503050406030204" pitchFamily="18" charset="0"/>
                            <a:ea typeface="Cambria Math" panose="02040503050406030204" pitchFamily="18" charset="0"/>
                          </a:rPr>
                          <m:t>𝑘</m:t>
                        </m:r>
                      </m:sub>
                    </m:sSub>
                    <m:r>
                      <a:rPr lang="nl-BE" sz="1100" b="0" i="1">
                        <a:latin typeface="Cambria Math" panose="02040503050406030204" pitchFamily="18" charset="0"/>
                        <a:ea typeface="Cambria Math" panose="02040503050406030204" pitchFamily="18" charset="0"/>
                      </a:rPr>
                      <m:t> ÷12)</m:t>
                    </m:r>
                  </m:oMath>
                </m:oMathPara>
              </a14:m>
              <a:endParaRPr lang="nl-BE" sz="1100"/>
            </a:p>
          </xdr:txBody>
        </xdr:sp>
      </mc:Choice>
      <mc:Fallback xmlns="">
        <xdr:sp macro="" textlink="">
          <xdr:nvSpPr>
            <xdr:cNvPr id="31" name="Tekstvak 30">
              <a:extLst>
                <a:ext uri="{FF2B5EF4-FFF2-40B4-BE49-F238E27FC236}">
                  <a16:creationId xmlns:a16="http://schemas.microsoft.com/office/drawing/2014/main" id="{94980BC4-17ED-4FA7-8DB0-E4210084F724}"/>
                </a:ext>
              </a:extLst>
            </xdr:cNvPr>
            <xdr:cNvSpPr txBox="1"/>
          </xdr:nvSpPr>
          <xdr:spPr>
            <a:xfrm>
              <a:off x="381000" y="11163300"/>
              <a:ext cx="4766626" cy="1833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nl-BE" sz="1100" b="0" i="0">
                  <a:latin typeface="Cambria Math" panose="02040503050406030204" pitchFamily="18" charset="0"/>
                </a:rPr>
                <a:t>𝐵_(𝑁𝑒𝑡𝑔𝑒𝑏𝑟𝑢𝑖𝑘,𝑖, 𝑗, 𝑘)=</a:t>
              </a:r>
              <a:r>
                <a:rPr lang="nl-BE" sz="1100" b="0" i="0">
                  <a:solidFill>
                    <a:schemeClr val="tx1"/>
                  </a:solidFill>
                  <a:effectLst/>
                  <a:latin typeface="Cambria Math" panose="02040503050406030204" pitchFamily="18" charset="0"/>
                  <a:ea typeface="+mn-ea"/>
                  <a:cs typeface="+mn-cs"/>
                </a:rPr>
                <a:t>𝑇_(𝑇𝑉,𝑖, 𝑗, 𝑘)  </a:t>
              </a:r>
              <a:r>
                <a:rPr lang="nl-BE" sz="1100" b="0" i="0">
                  <a:solidFill>
                    <a:schemeClr val="tx1"/>
                  </a:solidFill>
                  <a:effectLst/>
                  <a:latin typeface="Cambria Math" panose="02040503050406030204" pitchFamily="18" charset="0"/>
                  <a:ea typeface="Cambria Math" panose="02040503050406030204" pitchFamily="18" charset="0"/>
                  <a:cs typeface="+mn-cs"/>
                </a:rPr>
                <a:t>×(</a:t>
              </a:r>
              <a:r>
                <a:rPr lang="nl-BE" sz="1100" b="0" i="0">
                  <a:latin typeface="Cambria Math" panose="02040503050406030204" pitchFamily="18" charset="0"/>
                </a:rPr>
                <a:t>2 </a:t>
              </a:r>
              <a:r>
                <a:rPr lang="nl-BE" sz="1100" b="0" i="0">
                  <a:latin typeface="Cambria Math" panose="02040503050406030204" pitchFamily="18" charset="0"/>
                  <a:ea typeface="Cambria Math" panose="02040503050406030204" pitchFamily="18" charset="0"/>
                </a:rPr>
                <a:t>× </a:t>
              </a:r>
              <a:r>
                <a:rPr lang="nl-BE" sz="1100" b="0" i="0">
                  <a:solidFill>
                    <a:schemeClr val="tx1"/>
                  </a:solidFill>
                  <a:effectLst/>
                  <a:latin typeface="Cambria Math" panose="02040503050406030204" pitchFamily="18" charset="0"/>
                  <a:ea typeface="+mn-ea"/>
                  <a:cs typeface="+mn-cs"/>
                </a:rPr>
                <a:t>∑ </a:t>
              </a:r>
              <a:r>
                <a:rPr lang="nl-BE" sz="1100" b="0" i="0">
                  <a:latin typeface="Cambria Math" panose="02040503050406030204" pitchFamily="18" charset="0"/>
                  <a:ea typeface="Cambria Math" panose="02040503050406030204" pitchFamily="18" charset="0"/>
                </a:rPr>
                <a:t>〖𝑘𝑉𝐴〗_(𝑇𝑉,𝑖, 𝑗, 𝑘)+1,5 × </a:t>
              </a:r>
              <a:r>
                <a:rPr lang="nl-BE" sz="1100" b="0" i="0">
                  <a:solidFill>
                    <a:schemeClr val="tx1"/>
                  </a:solidFill>
                  <a:effectLst/>
                  <a:latin typeface="Cambria Math" panose="02040503050406030204" pitchFamily="18" charset="0"/>
                  <a:ea typeface="+mn-ea"/>
                  <a:cs typeface="+mn-cs"/>
                </a:rPr>
                <a:t>∑ </a:t>
              </a:r>
              <a:r>
                <a:rPr lang="nl-BE" sz="1100" b="0" i="0">
                  <a:latin typeface="Cambria Math" panose="02040503050406030204" pitchFamily="18" charset="0"/>
                  <a:ea typeface="Cambria Math" panose="02040503050406030204" pitchFamily="18" charset="0"/>
                </a:rPr>
                <a:t>〖𝑘𝑊〗_(𝑀𝑃−𝑇𝑉,𝑖, 𝑗, 𝑘)  ÷12)</a:t>
              </a:r>
              <a:endParaRPr lang="nl-BE" sz="1100"/>
            </a:p>
          </xdr:txBody>
        </xdr:sp>
      </mc:Fallback>
    </mc:AlternateContent>
    <xdr:clientData/>
  </xdr:oneCellAnchor>
  <xdr:oneCellAnchor>
    <xdr:from>
      <xdr:col>1</xdr:col>
      <xdr:colOff>0</xdr:colOff>
      <xdr:row>112</xdr:row>
      <xdr:rowOff>0</xdr:rowOff>
    </xdr:from>
    <xdr:ext cx="4941096" cy="374013"/>
    <mc:AlternateContent xmlns:mc="http://schemas.openxmlformats.org/markup-compatibility/2006" xmlns:a14="http://schemas.microsoft.com/office/drawing/2010/main">
      <mc:Choice Requires="a14">
        <xdr:sp macro="" textlink="">
          <xdr:nvSpPr>
            <xdr:cNvPr id="32" name="Tekstvak 31">
              <a:extLst>
                <a:ext uri="{FF2B5EF4-FFF2-40B4-BE49-F238E27FC236}">
                  <a16:creationId xmlns:a16="http://schemas.microsoft.com/office/drawing/2014/main" id="{BE684BA5-61C9-4283-B30F-BA4592431EDF}"/>
                </a:ext>
              </a:extLst>
            </xdr:cNvPr>
            <xdr:cNvSpPr txBox="1"/>
          </xdr:nvSpPr>
          <xdr:spPr>
            <a:xfrm>
              <a:off x="381000" y="17821275"/>
              <a:ext cx="4941096" cy="374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
                  </m:oMathParaPr>
                  <m:oMath xmlns:m="http://schemas.openxmlformats.org/officeDocument/2006/math">
                    <m:sSub>
                      <m:sSubPr>
                        <m:ctrlPr>
                          <a:rPr lang="nl-BE" sz="1100" i="1">
                            <a:latin typeface="Cambria Math" panose="02040503050406030204" pitchFamily="18" charset="0"/>
                          </a:rPr>
                        </m:ctrlPr>
                      </m:sSubPr>
                      <m:e>
                        <m:r>
                          <a:rPr lang="nl-BE" sz="1100" b="0" i="1">
                            <a:latin typeface="Cambria Math" panose="02040503050406030204" pitchFamily="18" charset="0"/>
                          </a:rPr>
                          <m:t>𝑃𝑟𝑜𝑐𝑒𝑛𝑡𝑢𝑒𝑒𝑙</m:t>
                        </m:r>
                        <m:r>
                          <a:rPr lang="nl-BE" sz="1100" b="0" i="1">
                            <a:latin typeface="Cambria Math" panose="02040503050406030204" pitchFamily="18" charset="0"/>
                          </a:rPr>
                          <m:t> </m:t>
                        </m:r>
                        <m:r>
                          <a:rPr lang="nl-BE" sz="1100" b="0" i="1">
                            <a:latin typeface="Cambria Math" panose="02040503050406030204" pitchFamily="18" charset="0"/>
                          </a:rPr>
                          <m:t>𝑎𝑎𝑛𝑑𝑒𝑒𝑙</m:t>
                        </m:r>
                      </m:e>
                      <m:sub>
                        <m:r>
                          <a:rPr lang="nl-BE" sz="1100" b="0" i="1">
                            <a:latin typeface="Cambria Math" panose="02040503050406030204" pitchFamily="18" charset="0"/>
                          </a:rPr>
                          <m:t>𝑇𝑉</m:t>
                        </m:r>
                        <m:r>
                          <a:rPr lang="nl-BE" sz="1100" b="0" i="1">
                            <a:latin typeface="Cambria Math" panose="02040503050406030204" pitchFamily="18" charset="0"/>
                          </a:rPr>
                          <m:t>,</m:t>
                        </m:r>
                        <m:r>
                          <a:rPr lang="nl-BE" sz="1100" b="0" i="1">
                            <a:latin typeface="Cambria Math" panose="02040503050406030204" pitchFamily="18" charset="0"/>
                          </a:rPr>
                          <m:t>𝑖</m:t>
                        </m:r>
                        <m:r>
                          <a:rPr lang="nl-BE" sz="1100" b="0" i="1">
                            <a:latin typeface="Cambria Math" panose="02040503050406030204" pitchFamily="18" charset="0"/>
                          </a:rPr>
                          <m:t>, </m:t>
                        </m:r>
                        <m:r>
                          <a:rPr lang="nl-BE" sz="1100" b="0" i="1">
                            <a:latin typeface="Cambria Math" panose="02040503050406030204" pitchFamily="18" charset="0"/>
                          </a:rPr>
                          <m:t>𝑗</m:t>
                        </m:r>
                        <m:r>
                          <a:rPr lang="nl-BE" sz="1100" b="0" i="1">
                            <a:latin typeface="Cambria Math" panose="02040503050406030204" pitchFamily="18" charset="0"/>
                          </a:rPr>
                          <m:t>, </m:t>
                        </m:r>
                        <m:r>
                          <a:rPr lang="nl-BE" sz="1100" b="0" i="1">
                            <a:latin typeface="Cambria Math" panose="02040503050406030204" pitchFamily="18" charset="0"/>
                          </a:rPr>
                          <m:t>𝑘</m:t>
                        </m:r>
                      </m:sub>
                    </m:sSub>
                    <m:r>
                      <a:rPr lang="nl-BE" sz="1100" b="0" i="1">
                        <a:latin typeface="Cambria Math" panose="02040503050406030204" pitchFamily="18" charset="0"/>
                      </a:rPr>
                      <m:t>= </m:t>
                    </m:r>
                    <m:f>
                      <m:fPr>
                        <m:ctrlPr>
                          <a:rPr lang="nl-BE" sz="1100" b="0" i="1">
                            <a:latin typeface="Cambria Math" panose="02040503050406030204" pitchFamily="18" charset="0"/>
                          </a:rPr>
                        </m:ctrlPr>
                      </m:fPr>
                      <m:num>
                        <m:r>
                          <a:rPr lang="nl-BE" sz="1100" b="0" i="1">
                            <a:solidFill>
                              <a:schemeClr val="tx1"/>
                            </a:solidFill>
                            <a:effectLst/>
                            <a:latin typeface="Cambria Math" panose="02040503050406030204" pitchFamily="18" charset="0"/>
                            <a:ea typeface="+mn-ea"/>
                            <a:cs typeface="+mn-cs"/>
                          </a:rPr>
                          <m:t>∑ </m:t>
                        </m:r>
                        <m:sSub>
                          <m:sSubPr>
                            <m:ctrlPr>
                              <a:rPr lang="nl-BE" sz="1100" b="0" i="1">
                                <a:latin typeface="Cambria Math" panose="02040503050406030204" pitchFamily="18" charset="0"/>
                              </a:rPr>
                            </m:ctrlPr>
                          </m:sSubPr>
                          <m:e>
                            <m:r>
                              <a:rPr lang="nl-BE" sz="1100" b="0" i="1">
                                <a:latin typeface="Cambria Math" panose="02040503050406030204" pitchFamily="18" charset="0"/>
                              </a:rPr>
                              <m:t>𝑘𝑉𝐴</m:t>
                            </m:r>
                          </m:e>
                          <m:sub>
                            <m:r>
                              <a:rPr lang="nl-BE" sz="1100" b="0" i="1">
                                <a:latin typeface="Cambria Math" panose="02040503050406030204" pitchFamily="18" charset="0"/>
                              </a:rPr>
                              <m:t>𝑇𝑉</m:t>
                            </m:r>
                            <m:r>
                              <a:rPr lang="nl-BE" sz="1100" b="0" i="1">
                                <a:latin typeface="Cambria Math" panose="02040503050406030204" pitchFamily="18" charset="0"/>
                              </a:rPr>
                              <m:t>,</m:t>
                            </m:r>
                            <m:r>
                              <a:rPr lang="nl-BE" sz="1100" b="0" i="1">
                                <a:latin typeface="Cambria Math" panose="02040503050406030204" pitchFamily="18" charset="0"/>
                              </a:rPr>
                              <m:t>𝑖</m:t>
                            </m:r>
                            <m:r>
                              <a:rPr lang="nl-BE" sz="1100" b="0" i="1">
                                <a:latin typeface="Cambria Math" panose="02040503050406030204" pitchFamily="18" charset="0"/>
                              </a:rPr>
                              <m:t>, </m:t>
                            </m:r>
                            <m:r>
                              <a:rPr lang="nl-BE" sz="1100" b="0" i="1">
                                <a:latin typeface="Cambria Math" panose="02040503050406030204" pitchFamily="18" charset="0"/>
                              </a:rPr>
                              <m:t>𝑗</m:t>
                            </m:r>
                            <m:r>
                              <a:rPr lang="nl-BE" sz="1100" b="0" i="1">
                                <a:latin typeface="Cambria Math" panose="02040503050406030204" pitchFamily="18" charset="0"/>
                              </a:rPr>
                              <m:t>, </m:t>
                            </m:r>
                            <m:r>
                              <a:rPr lang="nl-BE" sz="1100" b="0" i="1">
                                <a:latin typeface="Cambria Math" panose="02040503050406030204" pitchFamily="18" charset="0"/>
                              </a:rPr>
                              <m:t>𝑘</m:t>
                            </m:r>
                          </m:sub>
                        </m:sSub>
                      </m:num>
                      <m:den>
                        <m:r>
                          <a:rPr lang="nl-BE" sz="1100" b="0" i="1">
                            <a:latin typeface="Cambria Math" panose="02040503050406030204" pitchFamily="18" charset="0"/>
                          </a:rPr>
                          <m:t>(</m:t>
                        </m:r>
                        <m:r>
                          <a:rPr lang="nl-BE" sz="1100" b="0" i="1">
                            <a:solidFill>
                              <a:schemeClr val="tx1"/>
                            </a:solidFill>
                            <a:effectLst/>
                            <a:latin typeface="Cambria Math" panose="02040503050406030204" pitchFamily="18" charset="0"/>
                            <a:ea typeface="+mn-ea"/>
                            <a:cs typeface="+mn-cs"/>
                          </a:rPr>
                          <m:t>2 × ∑ </m:t>
                        </m:r>
                        <m:sSub>
                          <m:sSubPr>
                            <m:ctrlPr>
                              <a:rPr lang="nl-BE" sz="1100" b="0" i="1">
                                <a:solidFill>
                                  <a:schemeClr val="tx1"/>
                                </a:solidFill>
                                <a:effectLst/>
                                <a:latin typeface="Cambria Math" panose="02040503050406030204" pitchFamily="18" charset="0"/>
                                <a:ea typeface="+mn-ea"/>
                                <a:cs typeface="+mn-cs"/>
                              </a:rPr>
                            </m:ctrlPr>
                          </m:sSubPr>
                          <m:e>
                            <m:r>
                              <a:rPr lang="nl-BE" sz="1100" b="0" i="1">
                                <a:solidFill>
                                  <a:schemeClr val="tx1"/>
                                </a:solidFill>
                                <a:effectLst/>
                                <a:latin typeface="Cambria Math" panose="02040503050406030204" pitchFamily="18" charset="0"/>
                                <a:ea typeface="+mn-ea"/>
                                <a:cs typeface="+mn-cs"/>
                              </a:rPr>
                              <m:t>𝑘𝑉𝐴</m:t>
                            </m:r>
                          </m:e>
                          <m:sub>
                            <m:r>
                              <a:rPr lang="nl-BE" sz="1100" b="0" i="1">
                                <a:solidFill>
                                  <a:schemeClr val="tx1"/>
                                </a:solidFill>
                                <a:effectLst/>
                                <a:latin typeface="Cambria Math" panose="02040503050406030204" pitchFamily="18" charset="0"/>
                                <a:ea typeface="+mn-ea"/>
                                <a:cs typeface="+mn-cs"/>
                              </a:rPr>
                              <m:t>𝑇𝑉</m:t>
                            </m:r>
                            <m:r>
                              <a:rPr lang="nl-BE" sz="1100" b="0" i="1">
                                <a:solidFill>
                                  <a:schemeClr val="tx1"/>
                                </a:solidFill>
                                <a:effectLst/>
                                <a:latin typeface="Cambria Math" panose="02040503050406030204" pitchFamily="18" charset="0"/>
                                <a:ea typeface="+mn-ea"/>
                                <a:cs typeface="+mn-cs"/>
                              </a:rPr>
                              <m:t>,</m:t>
                            </m:r>
                            <m:r>
                              <a:rPr lang="nl-BE" sz="1100" b="0" i="1">
                                <a:solidFill>
                                  <a:schemeClr val="tx1"/>
                                </a:solidFill>
                                <a:effectLst/>
                                <a:latin typeface="Cambria Math" panose="02040503050406030204" pitchFamily="18" charset="0"/>
                                <a:ea typeface="+mn-ea"/>
                                <a:cs typeface="+mn-cs"/>
                              </a:rPr>
                              <m:t>𝑖</m:t>
                            </m:r>
                            <m:r>
                              <a:rPr lang="nl-BE" sz="1100" b="0" i="1">
                                <a:solidFill>
                                  <a:schemeClr val="tx1"/>
                                </a:solidFill>
                                <a:effectLst/>
                                <a:latin typeface="Cambria Math" panose="02040503050406030204" pitchFamily="18" charset="0"/>
                                <a:ea typeface="+mn-ea"/>
                                <a:cs typeface="+mn-cs"/>
                              </a:rPr>
                              <m:t>, </m:t>
                            </m:r>
                            <m:r>
                              <a:rPr lang="nl-BE" sz="1100" b="0" i="1">
                                <a:solidFill>
                                  <a:schemeClr val="tx1"/>
                                </a:solidFill>
                                <a:effectLst/>
                                <a:latin typeface="Cambria Math" panose="02040503050406030204" pitchFamily="18" charset="0"/>
                                <a:ea typeface="+mn-ea"/>
                                <a:cs typeface="+mn-cs"/>
                              </a:rPr>
                              <m:t>𝑗</m:t>
                            </m:r>
                            <m:r>
                              <a:rPr lang="nl-BE" sz="1100" b="0" i="1">
                                <a:solidFill>
                                  <a:schemeClr val="tx1"/>
                                </a:solidFill>
                                <a:effectLst/>
                                <a:latin typeface="Cambria Math" panose="02040503050406030204" pitchFamily="18" charset="0"/>
                                <a:ea typeface="+mn-ea"/>
                                <a:cs typeface="+mn-cs"/>
                              </a:rPr>
                              <m:t>, </m:t>
                            </m:r>
                            <m:r>
                              <a:rPr lang="nl-BE" sz="1100" b="0" i="1">
                                <a:solidFill>
                                  <a:schemeClr val="tx1"/>
                                </a:solidFill>
                                <a:effectLst/>
                                <a:latin typeface="Cambria Math" panose="02040503050406030204" pitchFamily="18" charset="0"/>
                                <a:ea typeface="+mn-ea"/>
                                <a:cs typeface="+mn-cs"/>
                              </a:rPr>
                              <m:t>𝑘</m:t>
                            </m:r>
                          </m:sub>
                        </m:sSub>
                        <m:r>
                          <a:rPr lang="nl-BE" sz="1100" b="0" i="1">
                            <a:solidFill>
                              <a:schemeClr val="tx1"/>
                            </a:solidFill>
                            <a:effectLst/>
                            <a:latin typeface="Cambria Math" panose="02040503050406030204" pitchFamily="18" charset="0"/>
                            <a:ea typeface="+mn-ea"/>
                            <a:cs typeface="+mn-cs"/>
                          </a:rPr>
                          <m:t>+1,5 × ∑ </m:t>
                        </m:r>
                        <m:sSub>
                          <m:sSubPr>
                            <m:ctrlPr>
                              <a:rPr lang="nl-BE" sz="1100" b="0" i="1">
                                <a:solidFill>
                                  <a:schemeClr val="tx1"/>
                                </a:solidFill>
                                <a:effectLst/>
                                <a:latin typeface="Cambria Math" panose="02040503050406030204" pitchFamily="18" charset="0"/>
                                <a:ea typeface="+mn-ea"/>
                                <a:cs typeface="+mn-cs"/>
                              </a:rPr>
                            </m:ctrlPr>
                          </m:sSubPr>
                          <m:e>
                            <m:r>
                              <a:rPr lang="nl-BE" sz="1100" b="0" i="1">
                                <a:solidFill>
                                  <a:schemeClr val="tx1"/>
                                </a:solidFill>
                                <a:effectLst/>
                                <a:latin typeface="Cambria Math" panose="02040503050406030204" pitchFamily="18" charset="0"/>
                                <a:ea typeface="+mn-ea"/>
                                <a:cs typeface="+mn-cs"/>
                              </a:rPr>
                              <m:t>𝑘𝑊</m:t>
                            </m:r>
                          </m:e>
                          <m:sub>
                            <m:r>
                              <a:rPr lang="nl-BE" sz="1100" b="0" i="1">
                                <a:solidFill>
                                  <a:schemeClr val="tx1"/>
                                </a:solidFill>
                                <a:effectLst/>
                                <a:latin typeface="Cambria Math" panose="02040503050406030204" pitchFamily="18" charset="0"/>
                                <a:ea typeface="+mn-ea"/>
                                <a:cs typeface="+mn-cs"/>
                              </a:rPr>
                              <m:t>𝑀𝑃</m:t>
                            </m:r>
                            <m:r>
                              <a:rPr lang="nl-BE" sz="1100" b="0" i="1">
                                <a:solidFill>
                                  <a:schemeClr val="tx1"/>
                                </a:solidFill>
                                <a:effectLst/>
                                <a:latin typeface="Cambria Math" panose="02040503050406030204" pitchFamily="18" charset="0"/>
                                <a:ea typeface="+mn-ea"/>
                                <a:cs typeface="+mn-cs"/>
                              </a:rPr>
                              <m:t>−</m:t>
                            </m:r>
                            <m:r>
                              <a:rPr lang="nl-BE" sz="1100" b="0" i="1">
                                <a:solidFill>
                                  <a:schemeClr val="tx1"/>
                                </a:solidFill>
                                <a:effectLst/>
                                <a:latin typeface="Cambria Math" panose="02040503050406030204" pitchFamily="18" charset="0"/>
                                <a:ea typeface="+mn-ea"/>
                                <a:cs typeface="+mn-cs"/>
                              </a:rPr>
                              <m:t>𝑇𝑉</m:t>
                            </m:r>
                            <m:r>
                              <a:rPr lang="nl-BE" sz="1100" b="0" i="1">
                                <a:solidFill>
                                  <a:schemeClr val="tx1"/>
                                </a:solidFill>
                                <a:effectLst/>
                                <a:latin typeface="Cambria Math" panose="02040503050406030204" pitchFamily="18" charset="0"/>
                                <a:ea typeface="+mn-ea"/>
                                <a:cs typeface="+mn-cs"/>
                              </a:rPr>
                              <m:t>,</m:t>
                            </m:r>
                            <m:r>
                              <a:rPr lang="nl-BE" sz="1100" b="0" i="1">
                                <a:solidFill>
                                  <a:schemeClr val="tx1"/>
                                </a:solidFill>
                                <a:effectLst/>
                                <a:latin typeface="Cambria Math" panose="02040503050406030204" pitchFamily="18" charset="0"/>
                                <a:ea typeface="+mn-ea"/>
                                <a:cs typeface="+mn-cs"/>
                              </a:rPr>
                              <m:t>𝑖</m:t>
                            </m:r>
                            <m:r>
                              <a:rPr lang="nl-BE" sz="1100" b="0" i="1">
                                <a:solidFill>
                                  <a:schemeClr val="tx1"/>
                                </a:solidFill>
                                <a:effectLst/>
                                <a:latin typeface="Cambria Math" panose="02040503050406030204" pitchFamily="18" charset="0"/>
                                <a:ea typeface="+mn-ea"/>
                                <a:cs typeface="+mn-cs"/>
                              </a:rPr>
                              <m:t>, </m:t>
                            </m:r>
                            <m:r>
                              <a:rPr lang="nl-BE" sz="1100" b="0" i="1">
                                <a:solidFill>
                                  <a:schemeClr val="tx1"/>
                                </a:solidFill>
                                <a:effectLst/>
                                <a:latin typeface="Cambria Math" panose="02040503050406030204" pitchFamily="18" charset="0"/>
                                <a:ea typeface="+mn-ea"/>
                                <a:cs typeface="+mn-cs"/>
                              </a:rPr>
                              <m:t>𝑗</m:t>
                            </m:r>
                            <m:r>
                              <a:rPr lang="nl-BE" sz="1100" b="0" i="1">
                                <a:solidFill>
                                  <a:schemeClr val="tx1"/>
                                </a:solidFill>
                                <a:effectLst/>
                                <a:latin typeface="Cambria Math" panose="02040503050406030204" pitchFamily="18" charset="0"/>
                                <a:ea typeface="+mn-ea"/>
                                <a:cs typeface="+mn-cs"/>
                              </a:rPr>
                              <m:t>, </m:t>
                            </m:r>
                            <m:r>
                              <a:rPr lang="nl-BE" sz="1100" b="0" i="1">
                                <a:solidFill>
                                  <a:schemeClr val="tx1"/>
                                </a:solidFill>
                                <a:effectLst/>
                                <a:latin typeface="Cambria Math" panose="02040503050406030204" pitchFamily="18" charset="0"/>
                                <a:ea typeface="+mn-ea"/>
                                <a:cs typeface="+mn-cs"/>
                              </a:rPr>
                              <m:t>𝑘</m:t>
                            </m:r>
                          </m:sub>
                        </m:sSub>
                        <m:r>
                          <a:rPr lang="nl-BE" sz="1100" b="0" i="1">
                            <a:solidFill>
                              <a:schemeClr val="tx1"/>
                            </a:solidFill>
                            <a:effectLst/>
                            <a:latin typeface="Cambria Math" panose="02040503050406030204" pitchFamily="18" charset="0"/>
                            <a:ea typeface="+mn-ea"/>
                            <a:cs typeface="+mn-cs"/>
                          </a:rPr>
                          <m:t> ÷12)</m:t>
                        </m:r>
                      </m:den>
                    </m:f>
                  </m:oMath>
                </m:oMathPara>
              </a14:m>
              <a:endParaRPr lang="nl-BE" sz="1100"/>
            </a:p>
          </xdr:txBody>
        </xdr:sp>
      </mc:Choice>
      <mc:Fallback xmlns="">
        <xdr:sp macro="" textlink="">
          <xdr:nvSpPr>
            <xdr:cNvPr id="32" name="Tekstvak 31">
              <a:extLst>
                <a:ext uri="{FF2B5EF4-FFF2-40B4-BE49-F238E27FC236}">
                  <a16:creationId xmlns:a16="http://schemas.microsoft.com/office/drawing/2014/main" id="{BE684BA5-61C9-4283-B30F-BA4592431EDF}"/>
                </a:ext>
              </a:extLst>
            </xdr:cNvPr>
            <xdr:cNvSpPr txBox="1"/>
          </xdr:nvSpPr>
          <xdr:spPr>
            <a:xfrm>
              <a:off x="381000" y="17821275"/>
              <a:ext cx="4941096" cy="374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nl-BE" sz="1100" i="0">
                  <a:latin typeface="Cambria Math" panose="02040503050406030204" pitchFamily="18" charset="0"/>
                </a:rPr>
                <a:t>〖</a:t>
              </a:r>
              <a:r>
                <a:rPr lang="nl-BE" sz="1100" b="0" i="0">
                  <a:latin typeface="Cambria Math" panose="02040503050406030204" pitchFamily="18" charset="0"/>
                </a:rPr>
                <a:t>𝑃𝑟𝑜𝑐𝑒𝑛𝑡𝑢𝑒𝑒𝑙 𝑎𝑎𝑛𝑑𝑒𝑒𝑙〗_(𝑇𝑉,𝑖, 𝑗, 𝑘)= </a:t>
              </a:r>
              <a:r>
                <a:rPr lang="nl-BE" sz="1100" b="0" i="0">
                  <a:solidFill>
                    <a:schemeClr val="tx1"/>
                  </a:solidFill>
                  <a:effectLst/>
                  <a:latin typeface="Cambria Math" panose="02040503050406030204" pitchFamily="18" charset="0"/>
                  <a:ea typeface="+mn-ea"/>
                  <a:cs typeface="+mn-cs"/>
                </a:rPr>
                <a:t> (∑ 〖</a:t>
              </a:r>
              <a:r>
                <a:rPr lang="nl-BE" sz="1100" b="0" i="0">
                  <a:latin typeface="Cambria Math" panose="02040503050406030204" pitchFamily="18" charset="0"/>
                </a:rPr>
                <a:t>𝑘𝑉𝐴〗_(𝑇𝑉,𝑖, 𝑗, 𝑘))/((</a:t>
              </a:r>
              <a:r>
                <a:rPr lang="nl-BE" sz="1100" b="0" i="0">
                  <a:solidFill>
                    <a:schemeClr val="tx1"/>
                  </a:solidFill>
                  <a:effectLst/>
                  <a:latin typeface="Cambria Math" panose="02040503050406030204" pitchFamily="18" charset="0"/>
                  <a:ea typeface="+mn-ea"/>
                  <a:cs typeface="+mn-cs"/>
                </a:rPr>
                <a:t>2 × ∑ 〖𝑘𝑉𝐴〗_(𝑇𝑉,𝑖, 𝑗, 𝑘)+1,5 × ∑ 〖𝑘𝑊〗_(𝑀𝑃−𝑇𝑉,𝑖, 𝑗, 𝑘)  ÷12))</a:t>
              </a:r>
              <a:endParaRPr lang="nl-BE" sz="1100"/>
            </a:p>
          </xdr:txBody>
        </xdr:sp>
      </mc:Fallback>
    </mc:AlternateContent>
    <xdr:clientData/>
  </xdr:oneCellAnchor>
  <xdr:twoCellAnchor>
    <xdr:from>
      <xdr:col>3</xdr:col>
      <xdr:colOff>0</xdr:colOff>
      <xdr:row>69</xdr:row>
      <xdr:rowOff>0</xdr:rowOff>
    </xdr:from>
    <xdr:to>
      <xdr:col>3</xdr:col>
      <xdr:colOff>270000</xdr:colOff>
      <xdr:row>70</xdr:row>
      <xdr:rowOff>187500</xdr:rowOff>
    </xdr:to>
    <xdr:sp macro="" textlink="">
      <xdr:nvSpPr>
        <xdr:cNvPr id="17" name="Rechteraccolade 16">
          <a:extLst>
            <a:ext uri="{FF2B5EF4-FFF2-40B4-BE49-F238E27FC236}">
              <a16:creationId xmlns:a16="http://schemas.microsoft.com/office/drawing/2014/main" id="{22BFE544-8AEB-4C4A-B60A-4541BC96FBC3}"/>
            </a:ext>
          </a:extLst>
        </xdr:cNvPr>
        <xdr:cNvSpPr/>
      </xdr:nvSpPr>
      <xdr:spPr>
        <a:xfrm>
          <a:off x="5143500" y="15154275"/>
          <a:ext cx="270000" cy="378000"/>
        </a:xfrm>
        <a:prstGeom prst="rightBrace">
          <a:avLst/>
        </a:prstGeom>
        <a:ln>
          <a:solidFill>
            <a:schemeClr val="tx1"/>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nl-BE"/>
        </a:p>
      </xdr:txBody>
    </xdr:sp>
    <xdr:clientData/>
  </xdr:twoCellAnchor>
  <xdr:twoCellAnchor>
    <xdr:from>
      <xdr:col>3</xdr:col>
      <xdr:colOff>0</xdr:colOff>
      <xdr:row>72</xdr:row>
      <xdr:rowOff>0</xdr:rowOff>
    </xdr:from>
    <xdr:to>
      <xdr:col>3</xdr:col>
      <xdr:colOff>270000</xdr:colOff>
      <xdr:row>74</xdr:row>
      <xdr:rowOff>177000</xdr:rowOff>
    </xdr:to>
    <xdr:sp macro="" textlink="">
      <xdr:nvSpPr>
        <xdr:cNvPr id="18" name="Rechteraccolade 17">
          <a:extLst>
            <a:ext uri="{FF2B5EF4-FFF2-40B4-BE49-F238E27FC236}">
              <a16:creationId xmlns:a16="http://schemas.microsoft.com/office/drawing/2014/main" id="{CC090118-FB14-49C7-971A-69403042B63F}"/>
            </a:ext>
          </a:extLst>
        </xdr:cNvPr>
        <xdr:cNvSpPr/>
      </xdr:nvSpPr>
      <xdr:spPr>
        <a:xfrm>
          <a:off x="5143500" y="15725775"/>
          <a:ext cx="270000" cy="558000"/>
        </a:xfrm>
        <a:prstGeom prst="rightBrace">
          <a:avLst/>
        </a:prstGeom>
        <a:ln>
          <a:solidFill>
            <a:schemeClr val="tx1"/>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nl-BE"/>
        </a:p>
      </xdr:txBody>
    </xdr:sp>
    <xdr:clientData/>
  </xdr:twoCellAnchor>
  <xdr:twoCellAnchor>
    <xdr:from>
      <xdr:col>3</xdr:col>
      <xdr:colOff>0</xdr:colOff>
      <xdr:row>78</xdr:row>
      <xdr:rowOff>0</xdr:rowOff>
    </xdr:from>
    <xdr:to>
      <xdr:col>3</xdr:col>
      <xdr:colOff>270000</xdr:colOff>
      <xdr:row>79</xdr:row>
      <xdr:rowOff>187500</xdr:rowOff>
    </xdr:to>
    <xdr:sp macro="" textlink="">
      <xdr:nvSpPr>
        <xdr:cNvPr id="20" name="Rechteraccolade 19">
          <a:extLst>
            <a:ext uri="{FF2B5EF4-FFF2-40B4-BE49-F238E27FC236}">
              <a16:creationId xmlns:a16="http://schemas.microsoft.com/office/drawing/2014/main" id="{A11DEB04-1E6F-4CF1-81EA-AA99B9EBCC33}"/>
            </a:ext>
          </a:extLst>
        </xdr:cNvPr>
        <xdr:cNvSpPr/>
      </xdr:nvSpPr>
      <xdr:spPr>
        <a:xfrm>
          <a:off x="5143500" y="17249775"/>
          <a:ext cx="270000" cy="378000"/>
        </a:xfrm>
        <a:prstGeom prst="rightBrace">
          <a:avLst/>
        </a:prstGeom>
        <a:ln>
          <a:solidFill>
            <a:schemeClr val="tx1"/>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nl-BE"/>
        </a:p>
      </xdr:txBody>
    </xdr:sp>
    <xdr:clientData/>
  </xdr:twoCellAnchor>
  <xdr:twoCellAnchor>
    <xdr:from>
      <xdr:col>3</xdr:col>
      <xdr:colOff>0</xdr:colOff>
      <xdr:row>84</xdr:row>
      <xdr:rowOff>0</xdr:rowOff>
    </xdr:from>
    <xdr:to>
      <xdr:col>3</xdr:col>
      <xdr:colOff>270000</xdr:colOff>
      <xdr:row>88</xdr:row>
      <xdr:rowOff>156000</xdr:rowOff>
    </xdr:to>
    <xdr:sp macro="" textlink="">
      <xdr:nvSpPr>
        <xdr:cNvPr id="26" name="Rechteraccolade 25">
          <a:extLst>
            <a:ext uri="{FF2B5EF4-FFF2-40B4-BE49-F238E27FC236}">
              <a16:creationId xmlns:a16="http://schemas.microsoft.com/office/drawing/2014/main" id="{B0A07957-FD06-42E0-B094-D9A8DA8AFF47}"/>
            </a:ext>
          </a:extLst>
        </xdr:cNvPr>
        <xdr:cNvSpPr/>
      </xdr:nvSpPr>
      <xdr:spPr>
        <a:xfrm>
          <a:off x="5143500" y="18392775"/>
          <a:ext cx="270000" cy="918000"/>
        </a:xfrm>
        <a:prstGeom prst="rightBrace">
          <a:avLst/>
        </a:prstGeom>
        <a:ln>
          <a:solidFill>
            <a:schemeClr val="tx1"/>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nl-BE"/>
        </a:p>
      </xdr:txBody>
    </xdr:sp>
    <xdr:clientData/>
  </xdr:twoCellAnchor>
  <xdr:twoCellAnchor>
    <xdr:from>
      <xdr:col>3</xdr:col>
      <xdr:colOff>0</xdr:colOff>
      <xdr:row>80</xdr:row>
      <xdr:rowOff>0</xdr:rowOff>
    </xdr:from>
    <xdr:to>
      <xdr:col>3</xdr:col>
      <xdr:colOff>270000</xdr:colOff>
      <xdr:row>82</xdr:row>
      <xdr:rowOff>177000</xdr:rowOff>
    </xdr:to>
    <xdr:sp macro="" textlink="">
      <xdr:nvSpPr>
        <xdr:cNvPr id="34" name="Rechteraccolade 33">
          <a:extLst>
            <a:ext uri="{FF2B5EF4-FFF2-40B4-BE49-F238E27FC236}">
              <a16:creationId xmlns:a16="http://schemas.microsoft.com/office/drawing/2014/main" id="{5661A155-52F9-49EE-817F-2069ABE3EF58}"/>
            </a:ext>
          </a:extLst>
        </xdr:cNvPr>
        <xdr:cNvSpPr/>
      </xdr:nvSpPr>
      <xdr:spPr>
        <a:xfrm>
          <a:off x="5143500" y="16168688"/>
          <a:ext cx="270000" cy="558000"/>
        </a:xfrm>
        <a:prstGeom prst="rightBrace">
          <a:avLst/>
        </a:prstGeom>
        <a:ln>
          <a:solidFill>
            <a:schemeClr val="tx1"/>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nl-BE"/>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26</xdr:col>
      <xdr:colOff>0</xdr:colOff>
      <xdr:row>26</xdr:row>
      <xdr:rowOff>0</xdr:rowOff>
    </xdr:from>
    <xdr:to>
      <xdr:col>26</xdr:col>
      <xdr:colOff>180000</xdr:colOff>
      <xdr:row>29</xdr:row>
      <xdr:rowOff>7700</xdr:rowOff>
    </xdr:to>
    <xdr:sp macro="" textlink="">
      <xdr:nvSpPr>
        <xdr:cNvPr id="4" name="Rechteraccolade 3">
          <a:extLst>
            <a:ext uri="{FF2B5EF4-FFF2-40B4-BE49-F238E27FC236}">
              <a16:creationId xmlns:a16="http://schemas.microsoft.com/office/drawing/2014/main" id="{7A9E440E-F6D6-43F8-A0FE-A567C50477B9}"/>
            </a:ext>
          </a:extLst>
        </xdr:cNvPr>
        <xdr:cNvSpPr/>
      </xdr:nvSpPr>
      <xdr:spPr>
        <a:xfrm>
          <a:off x="28241625" y="5734050"/>
          <a:ext cx="180000" cy="664925"/>
        </a:xfrm>
        <a:prstGeom prst="rightBrace">
          <a:avLst/>
        </a:pr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nl-BE"/>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20</xdr:col>
      <xdr:colOff>0</xdr:colOff>
      <xdr:row>92</xdr:row>
      <xdr:rowOff>0</xdr:rowOff>
    </xdr:from>
    <xdr:to>
      <xdr:col>20</xdr:col>
      <xdr:colOff>180000</xdr:colOff>
      <xdr:row>99</xdr:row>
      <xdr:rowOff>28593</xdr:rowOff>
    </xdr:to>
    <xdr:sp macro="" textlink="">
      <xdr:nvSpPr>
        <xdr:cNvPr id="2" name="Rechteraccolade 1">
          <a:extLst>
            <a:ext uri="{FF2B5EF4-FFF2-40B4-BE49-F238E27FC236}">
              <a16:creationId xmlns:a16="http://schemas.microsoft.com/office/drawing/2014/main" id="{98055D6C-C304-4090-9388-839EE376475C}"/>
            </a:ext>
          </a:extLst>
        </xdr:cNvPr>
        <xdr:cNvSpPr/>
      </xdr:nvSpPr>
      <xdr:spPr>
        <a:xfrm>
          <a:off x="50149125" y="17299781"/>
          <a:ext cx="180000" cy="612000"/>
        </a:xfrm>
        <a:prstGeom prst="rightBrace">
          <a:avLst/>
        </a:pr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nl-BE"/>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AB9C0256-522C-4500-A104-EEE36D4B440B}" name="VDSL1" displayName="VDSL1" ref="A8:H15" totalsRowShown="0" headerRowDxfId="243" dataDxfId="241" headerRowBorderDxfId="242">
  <autoFilter ref="A8:H15" xr:uid="{3F01A018-F417-4067-AE1E-E505AC44CF1F}"/>
  <tableColumns count="8">
    <tableColumn id="1" xr3:uid="{6874F31C-D82F-4ADE-A6C6-62BF35855968}" name="Verdeelsleutel" dataDxfId="240"/>
    <tableColumn id="8" xr3:uid="{06312C8F-ADAE-410F-AE6D-BE3F747F7CB0}" name="Eenheid" dataDxfId="239"/>
    <tableColumn id="2" xr3:uid="{55E325AA-E396-4C95-85E4-33CE88216184}" name="Afname (x)" dataDxfId="238"/>
    <tableColumn id="3" xr3:uid="{4FCDE1CB-E3FC-4DC3-A325-8E10556FB857}" name="Injectie (x)" dataDxfId="237"/>
    <tableColumn id="4" xr3:uid="{C374856D-F52A-4DAD-8FE7-666E35F3FB79}" name="Afname (#)" dataDxfId="236"/>
    <tableColumn id="5" xr3:uid="{66A1960F-A2D8-4F1A-8BF1-5AB85E640531}" name="Injectie (#)" dataDxfId="235">
      <calculatedColumnFormula>INDEX(Rekenvolumes[Injectieklanten (∑)],12)+INDEX(Rekenvolumes[Injectieklanten (∑)],13)</calculatedColumnFormula>
    </tableColumn>
    <tableColumn id="6" xr3:uid="{09407821-230D-4042-9E26-CEBCCD8F27CD}" name="Afname (%)" dataDxfId="234">
      <calculatedColumnFormula>IF(ISNUMBER($E9),$E9/SUM($E9:$F9),"")</calculatedColumnFormula>
    </tableColumn>
    <tableColumn id="7" xr3:uid="{765A5DC3-A550-452D-8D36-19E819D8033D}" name="Injectie (%)" dataDxfId="233">
      <calculatedColumnFormula>IF(ISNUMBER($F9),$F9/SUM($E9:$F9),"")</calculatedColumnFormula>
    </tableColumn>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A96FE027-2637-4C9E-9200-F0964967CB9C}" name="VDSL2" displayName="VDSL2" ref="A20:N40" totalsRowShown="0" headerRowDxfId="232" dataDxfId="230" headerRowBorderDxfId="231">
  <autoFilter ref="A20:N40" xr:uid="{F9554A6E-3861-4B70-8F48-93E413F87EE1}"/>
  <tableColumns count="14">
    <tableColumn id="1" xr3:uid="{AEA75F0E-2C8F-4692-AAE5-936E9D0EDE4A}" name="Verdeelsleutel" dataDxfId="229"/>
    <tableColumn id="16" xr3:uid="{B89B5C8A-5432-4BF4-A5AD-EF773FA21531}" name="Eenheid" dataDxfId="228"/>
    <tableColumn id="2" xr3:uid="{F5FC0C64-1F03-4A7B-B4CD-9933832DC0EB}" name="TRHS (x)" dataDxfId="227"/>
    <tableColumn id="3" xr3:uid="{378EE4D1-ED8F-4923-A63E-5244828FE1E5}" name="MS (x)" dataDxfId="226"/>
    <tableColumn id="4" xr3:uid="{947670E0-886E-4BD6-925F-A09B46DA12F0}" name="TRLS (x)" dataDxfId="225"/>
    <tableColumn id="5" xr3:uid="{E699CCEB-6EA3-4AF7-85F4-C6A128479D2A}" name="LS (x)" dataDxfId="224"/>
    <tableColumn id="6" xr3:uid="{F6B81E30-D672-4492-A2FB-FBDAC2BB4E16}" name="TRHS (#)" dataDxfId="223">
      <calculatedColumnFormula>INDEX(Rekenvolumes[Afnameklanten op TRHS (∑)],12)+INDEX(Rekenvolumes[Afnameklanten op TRHS (∑)],13)</calculatedColumnFormula>
    </tableColumn>
    <tableColumn id="7" xr3:uid="{D4E240B0-C5B3-49F4-A073-72CB49FB021C}" name="MS (#)" dataDxfId="222"/>
    <tableColumn id="8" xr3:uid="{8007C2B8-ADB7-40F6-8AE6-8C81847C9F4F}" name="TRLS (#)" dataDxfId="221"/>
    <tableColumn id="9" xr3:uid="{91BD29F2-DF63-4577-86C7-668066BACAA7}" name="LS (#)" dataDxfId="220"/>
    <tableColumn id="10" xr3:uid="{D0F3A797-CFA2-4140-AEAD-A02BD4AEC63C}" name="TRHS (%)" dataDxfId="219">
      <calculatedColumnFormula>(1+MAX_ODV_TRHS)*B2020_ODV_TRHS/'T2'!$K$96</calculatedColumnFormula>
    </tableColumn>
    <tableColumn id="11" xr3:uid="{83AB3077-11C2-4C19-AE4E-2623BF2DBE63}" name="MS (%)" dataDxfId="218">
      <calculatedColumnFormula>(1-$K$33)*H$33/SUM($H$33:$J$33)</calculatedColumnFormula>
    </tableColumn>
    <tableColumn id="12" xr3:uid="{13BBB216-83F5-4F2C-88EB-D14C97B3E7D9}" name="TRLS (%)" dataDxfId="217">
      <calculatedColumnFormula>(1-$K$33)*I$33/SUM($H$33:$J$33)</calculatedColumnFormula>
    </tableColumn>
    <tableColumn id="13" xr3:uid="{C9F5F94B-3F4C-45EC-A686-6A30EA744497}" name="LS (%)" dataDxfId="216">
      <calculatedColumnFormula>(1-$K$33)*J$33/SUM($H$33:$J$33)</calculatedColumnFormula>
    </tableColumn>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3E3BBA52-64E2-4F50-9554-AF9FE0013448}" name="VDSL3" displayName="VDSL3" ref="A45:H54" totalsRowShown="0" headerRowDxfId="215" dataDxfId="213" headerRowBorderDxfId="214">
  <autoFilter ref="A45:H54" xr:uid="{34B3D4E2-72EF-4A41-934D-48088E41D0BE}"/>
  <tableColumns count="8">
    <tableColumn id="1" xr3:uid="{377E705C-F064-4562-86CC-98D115B0AFFC}" name="Verdeelsleutel" dataDxfId="212"/>
    <tableColumn id="2" xr3:uid="{FA1ABD60-217E-49D0-8CC6-D664ED4A717F}" name="Eenheid" dataDxfId="211">
      <calculatedColumnFormula>'T2'!#REF!</calculatedColumnFormula>
    </tableColumn>
    <tableColumn id="3" xr3:uid="{D4099CA9-E4AC-4AC0-9B46-E1D8D7E09D7F}" name="Afnameklanten op LS met piekmeting (x)" dataDxfId="210">
      <calculatedColumnFormula>'T2'!#REF!</calculatedColumnFormula>
    </tableColumn>
    <tableColumn id="4" xr3:uid="{C94B9080-753E-4A35-919B-18D90A2952B2}" name="Afnameklanten met KM/TT (x)" dataDxfId="209">
      <calculatedColumnFormula>'T2'!#REF!</calculatedColumnFormula>
    </tableColumn>
    <tableColumn id="6" xr3:uid="{3C9F0A16-86C9-4D84-9191-6F9450E10F7F}" name="Afnameklanten op LS met piekmeting (#)" dataDxfId="208">
      <calculatedColumnFormula>'T2'!$Q$91</calculatedColumnFormula>
    </tableColumn>
    <tableColumn id="7" xr3:uid="{D2B48D53-AF01-4B4F-B818-547EDEF02106}" name="Afnameklanten met KM/TT (#)" dataDxfId="207">
      <calculatedColumnFormula>'T2'!$R$91</calculatedColumnFormula>
    </tableColumn>
    <tableColumn id="9" xr3:uid="{F8C817DB-69CA-4500-B163-1C4D2CF5E94D}" name="Afnameklanten op LS met piekmeting (%)" dataDxfId="206">
      <calculatedColumnFormula>IF(ISNUMBER($E46),$E46/SUM($E46:$F46),"")</calculatedColumnFormula>
    </tableColumn>
    <tableColumn id="10" xr3:uid="{45AFAD38-870B-497E-AE04-F753B28ECB2D}" name="Afnameklanten met KM/TT (%)" dataDxfId="205">
      <calculatedColumnFormula>IF(ISNUMBER($F46),$F46/SUM($E46:$F46),"")</calculatedColumnFormula>
    </tableColumn>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1000000}" name="Rekenvolumes" displayName="Rekenvolumes" ref="A7:Y25" totalsRowShown="0" headerRowDxfId="204" dataDxfId="202" headerRowBorderDxfId="203" tableBorderDxfId="201">
  <autoFilter ref="A7:Y25" xr:uid="{00000000-0009-0000-0100-000006000000}"/>
  <tableColumns count="25">
    <tableColumn id="11" xr3:uid="{00000000-0010-0000-0100-00000B000000}" name="Rekenvolume" dataDxfId="200"/>
    <tableColumn id="26" xr3:uid="{00000000-0010-0000-0100-00001A000000}" name=" " dataDxfId="199"/>
    <tableColumn id="25" xr3:uid="{00000000-0010-0000-0100-000019000000}" name="Totaal rekenvolume" dataDxfId="198">
      <calculatedColumnFormula>SUM(#REF!,#REF!,#REF!,#REF!,$U8:$Y8)</calculatedColumnFormula>
    </tableColumn>
    <tableColumn id="27" xr3:uid="{C05A1819-7413-4E39-8B35-F0B0A8DAA3F3}" name="Afnameklanten (∑)" dataDxfId="197">
      <calculatedColumnFormula>SUM(Rekenvolumes[[#This Row],[Afnameklanten op TRHS (∑)]],Rekenvolumes[[#This Row],[Afnameklanten op MS (∑)]],Rekenvolumes[[#This Row],[Afnameklanten op TRLS (∑)]],Rekenvolumes[[#This Row],[Afnameklanten op LS (∑)]])</calculatedColumnFormula>
    </tableColumn>
    <tableColumn id="2" xr3:uid="{BD60DE24-0567-4AEC-92DF-44884080CC86}" name="Afnameklanten op TRHS (∑)" dataDxfId="196">
      <calculatedColumnFormula>SUM(Rekenvolumes[[#This Row],[Afnameklanten op TRHS]:[Afnameklanten op &gt;26-36 kV met AV ≥ 5MVA]])</calculatedColumnFormula>
    </tableColumn>
    <tableColumn id="13" xr3:uid="{00000000-0010-0000-0100-00000D000000}" name="Afnameklanten op TRHS" dataDxfId="195"/>
    <tableColumn id="12" xr3:uid="{00000000-0010-0000-0100-00000C000000}" name="Afnameklanten op &gt;26-36 kV met AV ≥ 5MVA" dataDxfId="194"/>
    <tableColumn id="3" xr3:uid="{8715114F-B286-4051-B1CC-27958E367E79}" name="Afnameklanten op MS (∑)" dataDxfId="193">
      <calculatedColumnFormula>SUM(Rekenvolumes[[#This Row],[Afnameklanten op &gt;26-36 kV met AV &lt; 5MVA]:[Doorvoer op 26-1kV]])</calculatedColumnFormula>
    </tableColumn>
    <tableColumn id="15" xr3:uid="{00000000-0010-0000-0100-00000F000000}" name="Afnameklanten op &gt;26-36 kV met AV &lt; 5MVA" dataDxfId="192"/>
    <tableColumn id="14" xr3:uid="{00000000-0010-0000-0100-00000E000000}" name="Afnameklanten op 26-1kV" dataDxfId="191"/>
    <tableColumn id="16" xr3:uid="{00000000-0010-0000-0100-000010000000}" name="Doorvoer op 26-1kV" dataDxfId="190"/>
    <tableColumn id="4" xr3:uid="{21B56133-8EAB-496F-917E-B7B3423DEEDB}" name="Afnameklanten op TRLS (∑)" dataDxfId="189">
      <calculatedColumnFormula>SUM(Rekenvolumes[[#This Row],[Afnameklanten op TRLS]])</calculatedColumnFormula>
    </tableColumn>
    <tableColumn id="19" xr3:uid="{00000000-0010-0000-0100-000013000000}" name="Afnameklanten op TRLS" dataDxfId="188"/>
    <tableColumn id="5" xr3:uid="{4EDEFB38-28C1-407D-9D07-4C9AC2A7DE3C}" name="Afnameklanten op LS (∑)" dataDxfId="187">
      <calculatedColumnFormula>SUM(#REF!)</calculatedColumnFormula>
    </tableColumn>
    <tableColumn id="24" xr3:uid="{00000000-0010-0000-0100-000018000000}" name="Afnameklanten op LS met piekmeting" dataDxfId="186"/>
    <tableColumn id="20" xr3:uid="{00000000-0010-0000-0100-000014000000}" name="Doorvoer op LS met piekmeting" dataDxfId="185"/>
    <tableColumn id="23" xr3:uid="{00000000-0010-0000-0100-000017000000}" name="Afnameklanten op LS met klassieke meter" dataDxfId="184"/>
    <tableColumn id="33" xr3:uid="{B0D69B1E-29E0-408B-AAF5-355804E46F5F}" name="Doorvoer op LS zonder piekmeting" dataDxfId="183"/>
    <tableColumn id="22" xr3:uid="{00000000-0010-0000-0100-000016000000}" name="Prosumenten met terugdraaiende teller op LS" dataDxfId="182"/>
    <tableColumn id="6" xr3:uid="{57C605C2-92E5-4112-BAC3-7A9B4A14CE09}" name="Injectieklanten (∑)" dataDxfId="181">
      <calculatedColumnFormula>SUM(Rekenvolumes[[#This Row],[Injectieklanten op TRHS]:[Injectieklanten op LS]])</calculatedColumnFormula>
    </tableColumn>
    <tableColumn id="7" xr3:uid="{00000000-0010-0000-0100-000007000000}" name="Injectieklanten op TRHS" dataDxfId="180"/>
    <tableColumn id="1" xr3:uid="{0A932A16-A3B6-409D-835D-6F543E5F82BC}" name="Injectieklanten op &gt;26-36kV" dataDxfId="179"/>
    <tableColumn id="8" xr3:uid="{00000000-0010-0000-0100-000008000000}" name="Injectieklanten op 26-1kV" dataDxfId="178"/>
    <tableColumn id="9" xr3:uid="{00000000-0010-0000-0100-000009000000}" name="Injectieklanten op TRLS" dataDxfId="177"/>
    <tableColumn id="10" xr3:uid="{00000000-0010-0000-0100-00000A000000}" name="Injectieklanten op LS" dataDxfId="176"/>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2000000}" name="Tabel2" displayName="Tabel2" ref="A7:S91" totalsRowCount="1" headerRowDxfId="172" dataDxfId="170" totalsRowDxfId="168" headerRowBorderDxfId="171" tableBorderDxfId="169" totalsRowBorderDxfId="167">
  <autoFilter ref="A7:S90" xr:uid="{00000000-0009-0000-0100-000001000000}"/>
  <tableColumns count="19">
    <tableColumn id="2" xr3:uid="{00000000-0010-0000-0200-000002000000}" name="Subactiviteit" dataDxfId="166" totalsRowDxfId="165"/>
    <tableColumn id="3" xr3:uid="{00000000-0010-0000-0200-000003000000}" name="Tariefcomponent" dataDxfId="164" totalsRowDxfId="163"/>
    <tableColumn id="5" xr3:uid="{00000000-0010-0000-0200-000005000000}" name="Kostenindeling 1" dataDxfId="162" totalsRowDxfId="161"/>
    <tableColumn id="6" xr3:uid="{00000000-0010-0000-0200-000006000000}" name="Kostenindeling 2" dataDxfId="160" totalsRowDxfId="159"/>
    <tableColumn id="7" xr3:uid="{00000000-0010-0000-0200-000007000000}" name="Kostenindeling 3" dataDxfId="158" totalsRowDxfId="157"/>
    <tableColumn id="8" xr3:uid="{00000000-0010-0000-0200-000008000000}" name="Kostenindeling 4" dataDxfId="156" totalsRowDxfId="155"/>
    <tableColumn id="9" xr3:uid="{00000000-0010-0000-0200-000009000000}" name="Kostenrubriek" totalsRowLabel="Totaal" dataDxfId="154" totalsRowDxfId="153"/>
    <tableColumn id="38" xr3:uid="{01154727-CD81-489B-808F-810491F6248C}" name="Verdeelsleutel _x000a_energierichtingen" dataDxfId="152" totalsRowDxfId="151"/>
    <tableColumn id="37" xr3:uid="{1308D4D8-7985-469A-A1A7-7C1D8D000CD7}" name="Verdeelsleutel _x000a_spanningsniveaus _x000a_voor afname" dataDxfId="150" totalsRowDxfId="149"/>
    <tableColumn id="17" xr3:uid="{D8F688B1-41AC-46FB-B5A5-5E944D3D1BE8}" name="Verdeelsleutel _x000a_klantengroepen _x000a_voor afname op LS" dataDxfId="148" totalsRowDxfId="147"/>
    <tableColumn id="11" xr3:uid="{00000000-0010-0000-0200-00000B000000}" name="Totale budget" totalsRowFunction="custom" dataDxfId="146" totalsRowDxfId="145">
      <totalsRowFormula>SUBTOTAL(9,K$8:K$90)</totalsRowFormula>
    </tableColumn>
    <tableColumn id="34" xr3:uid="{EDDFCD59-FC15-42F2-86B0-A4A0C095A8F2}" name="Afnameklanten (∑)" totalsRowFunction="custom" dataDxfId="144" totalsRowDxfId="143">
      <calculatedColumnFormula>IF(ISTEXT($H8),INDEX(VDSL1[Afname (%)],MATCH($H8,VDSL1[Verdeelsleutel],0))*$K8,"")</calculatedColumnFormula>
      <totalsRowFormula>SUBTOTAL(9,L$8:L$90)</totalsRowFormula>
    </tableColumn>
    <tableColumn id="12" xr3:uid="{00000000-0010-0000-0200-00000C000000}" name="Afnameklanten op TRHS (∑)" totalsRowFunction="custom" dataDxfId="142" totalsRowDxfId="141">
      <calculatedColumnFormula>IF(ISTEXT($I8),INDEX(VDSL2[TRHS (%)],MATCH($I8,VDSL2[Verdeelsleutel],0))*$L8,"")</calculatedColumnFormula>
      <totalsRowFormula>SUBTOTAL(9,M$8:M$90)</totalsRowFormula>
    </tableColumn>
    <tableColumn id="13" xr3:uid="{00000000-0010-0000-0200-00000D000000}" name="Afnameklanten op MS (∑)" totalsRowFunction="custom" dataDxfId="140" totalsRowDxfId="139">
      <calculatedColumnFormula>IF(ISTEXT($I8),INDEX(VDSL2[MS (%)],MATCH($I8,VDSL2[Verdeelsleutel],0))*$L8,"")</calculatedColumnFormula>
      <totalsRowFormula>SUBTOTAL(9,N$8:N$90)</totalsRowFormula>
    </tableColumn>
    <tableColumn id="14" xr3:uid="{00000000-0010-0000-0200-00000E000000}" name="Afnameklanten op TRLS (∑)" totalsRowFunction="custom" dataDxfId="138" totalsRowDxfId="137">
      <calculatedColumnFormula>IF(ISTEXT($I8),INDEX(VDSL2[TRLS (%)],MATCH($I8,VDSL2[Verdeelsleutel],0))*$L8,"")</calculatedColumnFormula>
      <totalsRowFormula>SUBTOTAL(9,O$8:O$90)</totalsRowFormula>
    </tableColumn>
    <tableColumn id="15" xr3:uid="{00000000-0010-0000-0200-00000F000000}" name="Afnameklanten op LS (∑)" totalsRowFunction="custom" dataDxfId="136" totalsRowDxfId="135">
      <calculatedColumnFormula>IF(ISTEXT($I8),INDEX(VDSL2[LS (%)],MATCH($I8,VDSL2[Verdeelsleutel],0))*$L8,"")</calculatedColumnFormula>
      <totalsRowFormula>SUBTOTAL(9,P$8:P$90)</totalsRowFormula>
    </tableColumn>
    <tableColumn id="16" xr3:uid="{45301845-40B2-4860-8D22-8BDD442A9155}" name="Afnameklanten op LS met piekmeting (∑)" totalsRowFunction="custom" dataDxfId="134" totalsRowDxfId="133">
      <calculatedColumnFormula>IF(ISTEXT($J8),INDEX(VDSL3[Afnameklanten op LS met piekmeting (%)],MATCH($J8,VDSL3[Verdeelsleutel],0))*$P8,"")</calculatedColumnFormula>
      <totalsRowFormula>SUBTOTAL(9,Q$8:Q$90)</totalsRowFormula>
    </tableColumn>
    <tableColumn id="10" xr3:uid="{F8360C65-F225-4E29-9A6E-EEE0454FE501}" name="Afnameklanten met klassieke/terugdraaiende meter (∑)" totalsRowFunction="custom" dataDxfId="132" totalsRowDxfId="131">
      <calculatedColumnFormula>IF(ISTEXT($J8),INDEX(VDSL3[Afnameklanten met KM/TT (%)],MATCH($J8,VDSL3[Verdeelsleutel],0))*$P8,"")</calculatedColumnFormula>
      <totalsRowFormula>SUBTOTAL(9,R$8:R$90)</totalsRowFormula>
    </tableColumn>
    <tableColumn id="33" xr3:uid="{82DED357-9CC0-4288-B496-C2D3A1AC0748}" name="Injectieklanten (∑)" totalsRowFunction="custom" dataDxfId="130" totalsRowDxfId="129">
      <calculatedColumnFormula>IF(ISTEXT($H8),INDEX(VDSL1[Injectie (%)],MATCH($H8,VDSL1[Verdeelsleutel],0))*$K8,"")</calculatedColumnFormula>
      <totalsRowFormula>SUBTOTAL(9,S$8:S$90)</totalsRowFormula>
    </tableColumn>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Tabel3A" displayName="Tabel3A" ref="A7:I16" totalsRowCount="1" headerRowDxfId="128" dataDxfId="126" headerRowBorderDxfId="127" tableBorderDxfId="125" totalsRowBorderDxfId="124">
  <autoFilter ref="A7:I15" xr:uid="{00000000-0009-0000-0100-000004000000}"/>
  <tableColumns count="9">
    <tableColumn id="2" xr3:uid="{00000000-0010-0000-0300-000002000000}" name="Tariefcomponent" totalsRowLabel="Totaal" dataDxfId="123" totalsRowDxfId="122"/>
    <tableColumn id="25" xr3:uid="{00000000-0010-0000-0300-000019000000}" name="Totale budget" totalsRowFunction="sum" dataDxfId="121" totalsRowDxfId="120">
      <calculatedColumnFormula>SUMIFS(Tabel2[Totale budget],Tabel2[Tariefcomponent],$A8)</calculatedColumnFormula>
    </tableColumn>
    <tableColumn id="13" xr3:uid="{00000000-0010-0000-0300-00000D000000}" name="Afnameklanten  op TRHS (∑)" totalsRowFunction="sum" dataDxfId="119" totalsRowDxfId="118"/>
    <tableColumn id="14" xr3:uid="{00000000-0010-0000-0300-00000E000000}" name="Afnameklanten op MS (∑)" totalsRowFunction="sum" dataDxfId="117" totalsRowDxfId="116"/>
    <tableColumn id="18" xr3:uid="{00000000-0010-0000-0300-000012000000}" name="Afnameklanten op TRLS (∑)" totalsRowFunction="sum" dataDxfId="115" totalsRowDxfId="114"/>
    <tableColumn id="23" xr3:uid="{00000000-0010-0000-0300-000017000000}" name="Afnameklanten op LS (∑)" totalsRowFunction="sum" dataDxfId="113" totalsRowDxfId="112">
      <calculatedColumnFormula>SUMIFS(Tabel2[Afnameklanten op LS (∑)],Tabel2[Tariefcomponent],$A8)</calculatedColumnFormula>
    </tableColumn>
    <tableColumn id="4" xr3:uid="{E7A65586-71BC-4539-899B-E99675DF5365}" name="Afnameklanten op LS met piekmeting (∑)" totalsRowFunction="sum" dataDxfId="111" totalsRowDxfId="110">
      <calculatedColumnFormula>SUMIFS(Tabel2[Afnameklanten op LS met piekmeting (∑)],Tabel2[Tariefcomponent],$A8)</calculatedColumnFormula>
    </tableColumn>
    <tableColumn id="3" xr3:uid="{002CE854-4F93-4287-A364-26F0F50EA412}" name="Afnameklanten met klassieke/terugdraaiende meter (∑)" totalsRowFunction="sum" dataDxfId="109" totalsRowDxfId="108">
      <calculatedColumnFormula>SUMIFS(Tabel2[Afnameklanten met klassieke/terugdraaiende meter (∑)],Tabel2[Tariefcomponent],$A8)</calculatedColumnFormula>
    </tableColumn>
    <tableColumn id="7" xr3:uid="{00000000-0010-0000-0300-000007000000}" name="Injectieklanten (∑)" totalsRowFunction="sum" dataDxfId="107" totalsRowDxfId="106">
      <calculatedColumnFormula>SUMIFS(Tabel2[Injectieklanten (∑)],Tabel2[Tariefcomponent],$A8)</calculatedColumnFormula>
    </tableColumn>
  </tableColumns>
  <tableStyleInfo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1" xr:uid="{00000000-000C-0000-FFFF-FFFF04000000}" name="Tabel3B" displayName="Tabel3B" ref="A20:W41" totalsRowShown="0" headerRowDxfId="105" dataDxfId="103" headerRowBorderDxfId="104" tableBorderDxfId="102">
  <autoFilter ref="A20:W41" xr:uid="{00000000-0009-0000-0100-000033000000}"/>
  <tableColumns count="23">
    <tableColumn id="1" xr3:uid="{00000000-0010-0000-0400-000001000000}" name="Tariefcomponent" dataDxfId="101"/>
    <tableColumn id="3" xr3:uid="{00000000-0010-0000-0400-000003000000}" name="Tariefdrager" dataDxfId="100"/>
    <tableColumn id="21" xr3:uid="{6407D34A-1FEB-4691-9F35-5FEB8767DDFB}" name="Afnameklanten op TRHS (∑)" dataDxfId="99">
      <calculatedColumnFormula>$C$8</calculatedColumnFormula>
    </tableColumn>
    <tableColumn id="4" xr3:uid="{00000000-0010-0000-0400-000004000000}" name="Afnameklanten op TRHS" dataDxfId="98">
      <calculatedColumnFormula>$C21</calculatedColumnFormula>
    </tableColumn>
    <tableColumn id="5" xr3:uid="{00000000-0010-0000-0400-000005000000}" name="Afnameklanten op &gt;26-36 kV met AV ≥ 5MVA" dataDxfId="97">
      <calculatedColumnFormula>$C21</calculatedColumnFormula>
    </tableColumn>
    <tableColumn id="22" xr3:uid="{A8FD69D8-7E84-4307-8BB9-A9CC38570735}" name="Afnameklanten op MS (∑)" dataDxfId="96"/>
    <tableColumn id="6" xr3:uid="{00000000-0010-0000-0400-000006000000}" name="Afnameklanten op &gt;26-36 kV met AV &lt; 5MVA" dataDxfId="95">
      <calculatedColumnFormula>$F21</calculatedColumnFormula>
    </tableColumn>
    <tableColumn id="7" xr3:uid="{00000000-0010-0000-0400-000007000000}" name="Afnameklanten op 26-1kV" dataDxfId="94">
      <calculatedColumnFormula>$F21</calculatedColumnFormula>
    </tableColumn>
    <tableColumn id="8" xr3:uid="{00000000-0010-0000-0400-000008000000}" name="Doorvoer op 26-1kV" dataDxfId="93">
      <calculatedColumnFormula>$F21*FACTOR_DOORVOER</calculatedColumnFormula>
    </tableColumn>
    <tableColumn id="23" xr3:uid="{AD3A53F5-7A34-41AF-A4E6-65865290BA3C}" name="Afnameklanten op TRLS (∑)" dataDxfId="92"/>
    <tableColumn id="9" xr3:uid="{00000000-0010-0000-0400-000009000000}" name="Afnameklanten op TRLS" dataDxfId="91">
      <calculatedColumnFormula>$J21</calculatedColumnFormula>
    </tableColumn>
    <tableColumn id="24" xr3:uid="{32B60078-368F-46D4-BEBB-0DF89A122C71}" name="Afnameklanten op LS (∑)" dataDxfId="90">
      <calculatedColumnFormula>TAR_DATA_NIETLS_2021*CPI_JAARMIN1/CPI_2020</calculatedColumnFormula>
    </tableColumn>
    <tableColumn id="12" xr3:uid="{00000000-0010-0000-0400-00000C000000}" name="Afnameklanten op LS met piekmeting" dataDxfId="89">
      <calculatedColumnFormula>PROCENT_GEMMP*$G$8/(INDEX(Rekenvolumes[Afnameklanten op LS met piekmeting],11)+FACTOR_DOORVOER*INDEX(Rekenvolumes[Doorvoer op LS met piekmeting],11))</calculatedColumnFormula>
    </tableColumn>
    <tableColumn id="16" xr3:uid="{00000000-0010-0000-0400-000010000000}" name="Doorvoer op LS met piekmeting" dataDxfId="88">
      <calculatedColumnFormula>FACTOR_DOORVOER*Tabel3B[[#This Row],[Afnameklanten op LS met piekmeting]]</calculatedColumnFormula>
    </tableColumn>
    <tableColumn id="13" xr3:uid="{00000000-0010-0000-0400-00000D000000}" name="Afnameklanten op LS met klassieke meter" dataDxfId="87">
      <calculatedColumnFormula>FACTOR_VAST*$M$24</calculatedColumnFormula>
    </tableColumn>
    <tableColumn id="2" xr3:uid="{749FA047-111C-4A1B-A5F2-D5854A3974DF}" name="Doorvoer op LS zonder piekmeting" dataDxfId="86">
      <calculatedColumnFormula>FACTOR_DOORVOER*Tabel3B[[#This Row],[Afnameklanten op LS met klassieke meter]]</calculatedColumnFormula>
    </tableColumn>
    <tableColumn id="14" xr3:uid="{00000000-0010-0000-0400-00000E000000}" name="Prosumenten met terugdraaiende teller op LS" dataDxfId="85"/>
    <tableColumn id="26" xr3:uid="{987AC7C9-0FFF-4C04-B18C-A086F0CC070F}" name="Injectieklanten (∑)" dataDxfId="84"/>
    <tableColumn id="17" xr3:uid="{00000000-0010-0000-0400-000011000000}" name="Injectieklanten op TRHS" dataDxfId="83"/>
    <tableColumn id="25" xr3:uid="{4FF3EE05-888E-4414-A76B-6E0C988EFF5A}" name="Injectieklanten  op &gt;26-36kV" dataDxfId="82">
      <calculatedColumnFormula>$R21</calculatedColumnFormula>
    </tableColumn>
    <tableColumn id="18" xr3:uid="{00000000-0010-0000-0400-000012000000}" name="Injectieklanten op 26-1kV" dataDxfId="81"/>
    <tableColumn id="19" xr3:uid="{00000000-0010-0000-0400-000013000000}" name="Injectieklanten op TRLS" dataDxfId="80"/>
    <tableColumn id="20" xr3:uid="{00000000-0010-0000-0400-000014000000}" name="Injectieklanten op LS" dataDxfId="79"/>
  </tableColumns>
  <tableStyleInfo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1C1CCEA5-58EF-4FFF-8E16-5CE906AE7AEE}" name="Tabel4B" displayName="Tabel4B" ref="A7:W28" totalsRowShown="0" headerRowDxfId="78" dataDxfId="76" headerRowBorderDxfId="77" tableBorderDxfId="75">
  <autoFilter ref="A7:W28" xr:uid="{E33C784A-2A6C-4F72-82CC-B0543553988A}"/>
  <tableColumns count="23">
    <tableColumn id="1" xr3:uid="{0B55ADE3-0E9B-4EDD-99D8-8017B780DA54}" name="Tariefcomponent" dataDxfId="74"/>
    <tableColumn id="2" xr3:uid="{C2FA8F07-06DD-4730-86FD-DD99C3FB675D}" name="Tariefdrager" dataDxfId="73"/>
    <tableColumn id="3" xr3:uid="{07ED57C0-63C5-414D-B7BC-4EBAEBF2B275}" name="Afnameklanten op TRHS (∑)" dataDxfId="72">
      <calculatedColumnFormula>INDEX(Tabel3B[Afnameklanten op TRHS (∑)],3)</calculatedColumnFormula>
    </tableColumn>
    <tableColumn id="21" xr3:uid="{540063E0-0233-44A1-AC6A-0189143B9A14}" name="Afnameklanten op TRHS" dataDxfId="71"/>
    <tableColumn id="4" xr3:uid="{4EBE2D4B-BE55-43F4-BA07-5CB78E09B564}" name="Afnameklanten op &gt;26-36 kV met AV ≥ 5MVA" dataDxfId="70"/>
    <tableColumn id="5" xr3:uid="{31D08308-1B70-4960-B284-F7BA8BB4818E}" name="Afnameklanten op MS (∑)" dataDxfId="69"/>
    <tableColumn id="22" xr3:uid="{697B39DA-3513-463A-B0AC-67E863D8337F}" name="Afnameklanten op &gt;26-36 kV met AV &lt; 5MVA" dataDxfId="68"/>
    <tableColumn id="6" xr3:uid="{5B87BFDC-11F1-487D-BDD4-79AB22ED9C40}" name="Afnameklanten op 26-1kV" dataDxfId="67"/>
    <tableColumn id="7" xr3:uid="{B6DAF900-FB78-4188-8B20-D6B82C238495}" name="Doorvoer op 26-1kV" dataDxfId="66"/>
    <tableColumn id="8" xr3:uid="{2ADE7398-0B48-4E0D-8D78-DF6F0B72A896}" name="Afnameklanten op TRLS (∑)" dataDxfId="65"/>
    <tableColumn id="23" xr3:uid="{1763D612-4031-497B-8BFA-C9A75C17F9E0}" name="Afnameklanten op TRLS" dataDxfId="64"/>
    <tableColumn id="11" xr3:uid="{D236380C-388E-4B15-B394-08D1ACA4BAE9}" name="Afnameklanten op LS (∑)" dataDxfId="63">
      <calculatedColumnFormula>INDEX(Tabel3B[Afnameklanten op LS (∑)],9)</calculatedColumnFormula>
    </tableColumn>
    <tableColumn id="24" xr3:uid="{E7029C0C-920B-466B-958F-88A4D88EBA5D}" name="Afnameklanten op LS met piekmeting" dataDxfId="62"/>
    <tableColumn id="12" xr3:uid="{60668DC5-F0A8-4C24-BA72-8A550C7C26A1}" name="Doorvoer op LS met piekmeting" dataDxfId="61"/>
    <tableColumn id="16" xr3:uid="{8BBB0441-83B6-40F4-95C2-6E693E386771}" name="Afnameklanten op LS met klassieke meter" dataDxfId="60"/>
    <tableColumn id="20" xr3:uid="{F0033DB6-9516-4A19-BE2B-0F7ACB9FCC7D}" name="Doorvoer op LS zonder piekmeting" dataDxfId="59"/>
    <tableColumn id="13" xr3:uid="{6817B3F3-E687-450C-A60D-E96FE584E09B}" name="Prosumenten met terugdraaiende teller op LS" dataDxfId="58"/>
    <tableColumn id="15" xr3:uid="{E7D109DE-EEBC-49A1-892A-494A81081A41}" name="Injectieklanten (∑)" dataDxfId="57"/>
    <tableColumn id="26" xr3:uid="{93FA5261-A8D9-4784-A11D-129A4326DC52}" name="Injectieklanten op TRHS" dataDxfId="56"/>
    <tableColumn id="17" xr3:uid="{8146F787-C4A3-4E83-9AE9-1D83EB7387CB}" name="Injectieklanten  op &gt;26-36kV" dataDxfId="55"/>
    <tableColumn id="25" xr3:uid="{83F2482B-1626-47F1-9DDC-287162F035F4}" name="Injectieklanten op 26-1kV" dataDxfId="54"/>
    <tableColumn id="18" xr3:uid="{31A60431-CFB2-445E-9C41-71FE552A320B}" name="Injectieklanten op TRLS" dataDxfId="53"/>
    <tableColumn id="19" xr3:uid="{3C2C58AD-92B1-4F82-A791-667C94369C21}" name="Injectieklanten op LS" dataDxfId="52"/>
  </tableColumns>
  <tableStyleInfo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4" xr:uid="{00000000-000C-0000-FFFF-FFFF06000000}" name="Tabel4A" displayName="Tabel4A" ref="A32:W42" totalsRowCount="1" headerRowDxfId="51" dataDxfId="49" totalsRowDxfId="47" headerRowBorderDxfId="50" tableBorderDxfId="48" totalsRowBorderDxfId="46">
  <autoFilter ref="A32:W41" xr:uid="{00000000-0009-0000-0100-000040000000}"/>
  <tableColumns count="23">
    <tableColumn id="2" xr3:uid="{00000000-0010-0000-0600-000002000000}" name="Tariefcomponent" totalsRowLabel="Totaal" dataDxfId="45" totalsRowDxfId="44"/>
    <tableColumn id="25" xr3:uid="{00000000-0010-0000-0600-000019000000}" name="Totale budget" totalsRowFunction="sum" dataDxfId="43" totalsRowDxfId="42">
      <calculatedColumnFormula>SUM(Tabel4A[[#This Row],[Afnameklanten op TRHS (∑)]],Tabel4A[[#This Row],[Afnameklanten op MS (∑)]],Tabel4A[[#This Row],[Afnameklanten op TRLS (∑)]],Tabel4A[[#This Row],[Afnameklanten op LS (∑)]],Tabel4A[[#This Row],[Injectieklanten (∑)]])</calculatedColumnFormula>
    </tableColumn>
    <tableColumn id="13" xr3:uid="{00000000-0010-0000-0600-00000D000000}" name="Afnameklanten op TRHS (∑)" totalsRowFunction="sum" dataDxfId="41" totalsRowDxfId="40">
      <calculatedColumnFormula>SUM(Tabel4A[[#This Row],[Afnameklanten op TRHS]:[Afnameklanten op &gt;26-36 kV met AV ≥ 5MVA]])</calculatedColumnFormula>
    </tableColumn>
    <tableColumn id="12" xr3:uid="{00000000-0010-0000-0600-00000C000000}" name="Afnameklanten op TRHS" totalsRowFunction="sum" dataDxfId="39" totalsRowDxfId="38">
      <calculatedColumnFormula>E$8*REKENVOLUMES!G$15+E$9*REKENVOLUMES!G$16+E$10*REKENVOLUMES!G$17-MAXIMUM!$E10</calculatedColumnFormula>
    </tableColumn>
    <tableColumn id="15" xr3:uid="{00000000-0010-0000-0600-00000F000000}" name="Afnameklanten op &gt;26-36 kV met AV ≥ 5MVA" totalsRowFunction="sum" dataDxfId="37" totalsRowDxfId="36"/>
    <tableColumn id="14" xr3:uid="{00000000-0010-0000-0600-00000E000000}" name="Afnameklanten op MS (∑)" totalsRowFunction="sum" dataDxfId="35" totalsRowDxfId="34">
      <calculatedColumnFormula>SUM(Tabel4A[[#This Row],[Afnameklanten op &gt;26-36 kV met AV &lt; 5MVA]:[Doorvoer op 26-1kV]])</calculatedColumnFormula>
    </tableColumn>
    <tableColumn id="16" xr3:uid="{00000000-0010-0000-0600-000010000000}" name="Afnameklanten op &gt;26-36 kV met AV &lt; 5MVA" totalsRowFunction="sum" dataDxfId="33" totalsRowDxfId="32"/>
    <tableColumn id="19" xr3:uid="{00000000-0010-0000-0600-000013000000}" name="Afnameklanten op 26-1kV" totalsRowFunction="sum" dataDxfId="31" totalsRowDxfId="30"/>
    <tableColumn id="18" xr3:uid="{00000000-0010-0000-0600-000012000000}" name="Doorvoer op 26-1kV" totalsRowFunction="sum" dataDxfId="29" totalsRowDxfId="28"/>
    <tableColumn id="17" xr3:uid="{00000000-0010-0000-0600-000011000000}" name="Afnameklanten op TRLS (∑)" totalsRowFunction="sum" dataDxfId="27" totalsRowDxfId="26">
      <calculatedColumnFormula>SUM(#REF!)</calculatedColumnFormula>
    </tableColumn>
    <tableColumn id="24" xr3:uid="{00000000-0010-0000-0600-000018000000}" name="Afnameklanten op TRLS" totalsRowFunction="sum" dataDxfId="25" totalsRowDxfId="24"/>
    <tableColumn id="21" xr3:uid="{00000000-0010-0000-0600-000015000000}" name="Afnameklanten op LS (∑)" totalsRowFunction="sum" dataDxfId="23" totalsRowDxfId="22">
      <calculatedColumnFormula>SUM(#REF!)</calculatedColumnFormula>
    </tableColumn>
    <tableColumn id="20" xr3:uid="{00000000-0010-0000-0600-000014000000}" name="Afnameklanten op LS met piekmeting" totalsRowFunction="sum" dataDxfId="21" totalsRowDxfId="20">
      <calculatedColumnFormula>$M$11*INDEX(Rekenvolumes[Afnameklanten op LS met piekmeting],11)+$M$13*(INDEX(Rekenvolumes[Afnameklanten op LS met piekmeting],12)+INDEX(Rekenvolumes[Afnameklanten op LS met piekmeting],13)+INDEX(Rekenvolumes[Afnameklanten op LS met piekmeting],14))-MAXIMUM!$E$15</calculatedColumnFormula>
    </tableColumn>
    <tableColumn id="7" xr3:uid="{00000000-0010-0000-0600-000007000000}" name="Doorvoer op LS met piekmeting" totalsRowFunction="sum" dataDxfId="19" totalsRowDxfId="18">
      <calculatedColumnFormula>$M$11*INDEX(Rekenvolumes[Doorvoer op LS met piekmeting],11)+$M$13*(INDEX(Rekenvolumes[Doorvoer op LS met piekmeting],12)+INDEX(Rekenvolumes[Doorvoer op LS met piekmeting],13)+INDEX(Rekenvolumes[Doorvoer op LS met piekmeting],14))-MAXIMUM!$E$16</calculatedColumnFormula>
    </tableColumn>
    <tableColumn id="8" xr3:uid="{00000000-0010-0000-0600-000008000000}" name="Afnameklanten op LS met klassieke meter" totalsRowFunction="sum" dataDxfId="17" totalsRowDxfId="16">
      <calculatedColumnFormula>Q$14*REKENVOLUMES!W$22-MAXIMUM!$E23</calculatedColumnFormula>
    </tableColumn>
    <tableColumn id="26" xr3:uid="{34B7829D-8D4B-4754-9DF9-25399D7A844E}" name="Doorvoer op LS zonder piekmeting" totalsRowFunction="sum" dataDxfId="15" totalsRowDxfId="14"/>
    <tableColumn id="9" xr3:uid="{00000000-0010-0000-0600-000009000000}" name="Prosumenten met terugdraaiende teller op LS" totalsRowFunction="sum" dataDxfId="13" totalsRowDxfId="12">
      <calculatedColumnFormula>#REF!*REKENVOLUMES!X$22-MAXIMUM!$E24</calculatedColumnFormula>
    </tableColumn>
    <tableColumn id="1" xr3:uid="{B6D7B13F-DADB-4C3C-B303-A1A08B5A6DFA}" name="Injectieklanten (∑)" totalsRowFunction="sum" dataDxfId="11" totalsRowDxfId="10">
      <calculatedColumnFormula>SUM(Tabel4A[[#This Row],[Injectieklanten op TRHS]:[Injectieklanten op LS]])</calculatedColumnFormula>
    </tableColumn>
    <tableColumn id="3" xr3:uid="{F9E1F0FD-3C0D-4E8D-A4CB-C3C90C6111EA}" name="Injectieklanten op TRHS" totalsRowFunction="sum" dataDxfId="9" totalsRowDxfId="8">
      <calculatedColumnFormula>$S$14*INDEX(Rekenvolumes[Injectieklanten op TRHS],15)-MAXIMUM!$E$21</calculatedColumnFormula>
    </tableColumn>
    <tableColumn id="4" xr3:uid="{5F133A90-7193-4D45-8E5E-35735C10227B}" name="Injectieklanten  op &gt;26-36kV" totalsRowFunction="sum" dataDxfId="7" totalsRowDxfId="6"/>
    <tableColumn id="5" xr3:uid="{3DABB390-CE23-4845-9779-01EF0BE72AB1}" name="Injectieklanten op 26-1kV" totalsRowFunction="sum" dataDxfId="5" totalsRowDxfId="4"/>
    <tableColumn id="6" xr3:uid="{49A1BBFF-BA6C-4CB0-8C58-818DA7C283A6}" name="Injectieklanten op TRLS" totalsRowFunction="sum" dataDxfId="3" totalsRowDxfId="2"/>
    <tableColumn id="11" xr3:uid="{91B5A4E2-7933-4949-95EE-683F1E224319}" name="Injectieklanten op LS" totalsRowFunction="sum" dataDxfId="1" totalsRowDxfId="0"/>
  </tableColumns>
  <tableStyleInfo showFirstColumn="0" showLastColumn="0" showRowStripes="1" showColumnStripes="0"/>
</table>
</file>

<file path=xl/theme/theme1.xml><?xml version="1.0" encoding="utf-8"?>
<a:theme xmlns:a="http://schemas.openxmlformats.org/drawingml/2006/main" name="Kantoorthema">
  <a:themeElements>
    <a:clrScheme name="VREG">
      <a:dk1>
        <a:sysClr val="windowText" lastClr="000000"/>
      </a:dk1>
      <a:lt1>
        <a:sysClr val="window" lastClr="FFFFFF"/>
      </a:lt1>
      <a:dk2>
        <a:srgbClr val="332288"/>
      </a:dk2>
      <a:lt2>
        <a:srgbClr val="FFDD00"/>
      </a:lt2>
      <a:accent1>
        <a:srgbClr val="EE7700"/>
      </a:accent1>
      <a:accent2>
        <a:srgbClr val="95AABB"/>
      </a:accent2>
      <a:accent3>
        <a:srgbClr val="0066BB"/>
      </a:accent3>
      <a:accent4>
        <a:srgbClr val="EE3388"/>
      </a:accent4>
      <a:accent5>
        <a:srgbClr val="009999"/>
      </a:accent5>
      <a:accent6>
        <a:srgbClr val="882288"/>
      </a:accent6>
      <a:hlink>
        <a:srgbClr val="0066BB"/>
      </a:hlink>
      <a:folHlink>
        <a:srgbClr val="882288"/>
      </a:folHlink>
    </a:clrScheme>
    <a:fontScheme name="Kantoor">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drawing" Target="../drawings/drawing3.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3" Type="http://schemas.openxmlformats.org/officeDocument/2006/relationships/table" Target="../tables/table7.xml"/><Relationship Id="rId2" Type="http://schemas.openxmlformats.org/officeDocument/2006/relationships/table" Target="../tables/table6.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3" Type="http://schemas.openxmlformats.org/officeDocument/2006/relationships/table" Target="../tables/table9.xml"/><Relationship Id="rId2" Type="http://schemas.openxmlformats.org/officeDocument/2006/relationships/table" Target="../tables/table8.xml"/><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4.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3.bin"/><Relationship Id="rId4" Type="http://schemas.openxmlformats.org/officeDocument/2006/relationships/table" Target="../tables/table3.xml"/></Relationships>
</file>

<file path=xl/worksheets/_rels/sheet5.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1"/>
  <dimension ref="A1:W174"/>
  <sheetViews>
    <sheetView showGridLines="0" tabSelected="1" zoomScaleNormal="100" zoomScaleSheetLayoutView="30" workbookViewId="0">
      <selection activeCell="I12" sqref="I12"/>
    </sheetView>
  </sheetViews>
  <sheetFormatPr defaultColWidth="10.7109375" defaultRowHeight="15" customHeight="1"/>
  <cols>
    <col min="1" max="16384" width="10.7109375" style="8"/>
  </cols>
  <sheetData>
    <row r="1" spans="1:12" ht="15" customHeight="1">
      <c r="B1" s="9"/>
      <c r="C1" s="10"/>
    </row>
    <row r="2" spans="1:12" s="11" customFormat="1" ht="30" customHeight="1">
      <c r="A2" s="1403" t="s">
        <v>159</v>
      </c>
      <c r="B2" s="1403"/>
      <c r="C2" s="1403"/>
      <c r="D2" s="1403"/>
      <c r="E2" s="1403"/>
      <c r="F2" s="1403"/>
      <c r="G2" s="1403"/>
      <c r="H2" s="1403"/>
      <c r="I2" s="1403"/>
      <c r="J2" s="1403"/>
      <c r="K2" s="1403"/>
      <c r="L2" s="1403"/>
    </row>
    <row r="3" spans="1:12" ht="15" customHeight="1">
      <c r="B3" s="9"/>
      <c r="C3" s="10"/>
    </row>
    <row r="4" spans="1:12" ht="15" customHeight="1">
      <c r="B4" s="9"/>
      <c r="C4" s="10"/>
    </row>
    <row r="5" spans="1:12" ht="15" customHeight="1" thickBot="1">
      <c r="B5" s="9"/>
    </row>
    <row r="6" spans="1:12" ht="15" customHeight="1" thickBot="1">
      <c r="B6" s="9" t="s">
        <v>0</v>
      </c>
      <c r="F6" s="1408" t="s">
        <v>22</v>
      </c>
      <c r="G6" s="1409"/>
      <c r="H6" s="1409"/>
      <c r="I6" s="1410"/>
    </row>
    <row r="7" spans="1:12" ht="15" customHeight="1" thickBot="1">
      <c r="B7" s="9" t="s">
        <v>1</v>
      </c>
      <c r="F7" s="1408"/>
      <c r="G7" s="1409"/>
      <c r="H7" s="1409"/>
      <c r="I7" s="1410"/>
    </row>
    <row r="8" spans="1:12" s="4" customFormat="1" ht="15" customHeight="1" thickBot="1">
      <c r="B8" s="13"/>
      <c r="F8" s="14"/>
      <c r="G8" s="14"/>
      <c r="H8" s="14"/>
      <c r="I8" s="14"/>
    </row>
    <row r="9" spans="1:12" ht="15" customHeight="1" thickBot="1">
      <c r="B9" s="15" t="s">
        <v>2</v>
      </c>
      <c r="F9" s="9"/>
      <c r="H9" s="15" t="s">
        <v>3</v>
      </c>
      <c r="I9" s="16">
        <v>2021</v>
      </c>
    </row>
    <row r="10" spans="1:12" ht="15" customHeight="1" thickBot="1">
      <c r="B10" s="15"/>
      <c r="F10" s="9"/>
      <c r="H10" s="15" t="s">
        <v>4</v>
      </c>
      <c r="I10" s="16">
        <v>2024</v>
      </c>
    </row>
    <row r="11" spans="1:12" ht="15" customHeight="1" thickBot="1">
      <c r="B11" s="17"/>
      <c r="F11" s="10"/>
    </row>
    <row r="12" spans="1:12" ht="15" customHeight="1" thickBot="1">
      <c r="B12" s="9" t="s">
        <v>225</v>
      </c>
      <c r="F12" s="10"/>
      <c r="I12" s="12">
        <v>2022</v>
      </c>
    </row>
    <row r="13" spans="1:12" ht="15" customHeight="1">
      <c r="B13" s="17"/>
      <c r="C13" s="10"/>
    </row>
    <row r="14" spans="1:12" ht="15" customHeight="1">
      <c r="B14" s="17"/>
      <c r="C14" s="10"/>
    </row>
    <row r="16" spans="1:12" ht="15" customHeight="1">
      <c r="A16" s="1404" t="s">
        <v>160</v>
      </c>
      <c r="B16" s="1405"/>
      <c r="C16" s="1405"/>
      <c r="D16" s="1405"/>
      <c r="E16" s="1405"/>
      <c r="F16" s="1405"/>
      <c r="G16" s="1405"/>
      <c r="H16" s="1405"/>
      <c r="I16" s="1405"/>
      <c r="J16" s="1405"/>
      <c r="K16" s="1405"/>
      <c r="L16" s="1406"/>
    </row>
    <row r="17" spans="1:12" ht="15" customHeight="1">
      <c r="A17" s="18"/>
    </row>
    <row r="18" spans="1:12" ht="15" customHeight="1">
      <c r="A18" s="1407" t="s">
        <v>329</v>
      </c>
      <c r="B18" s="1407"/>
      <c r="C18" s="1407"/>
      <c r="D18" s="1407"/>
      <c r="E18" s="1407"/>
      <c r="F18" s="1407"/>
      <c r="G18" s="1407"/>
      <c r="H18" s="1407"/>
      <c r="I18" s="1407"/>
      <c r="J18" s="1407"/>
      <c r="K18" s="1407"/>
      <c r="L18" s="1407"/>
    </row>
    <row r="19" spans="1:12" ht="15" customHeight="1">
      <c r="A19" s="1407"/>
      <c r="B19" s="1407"/>
      <c r="C19" s="1407"/>
      <c r="D19" s="1407"/>
      <c r="E19" s="1407"/>
      <c r="F19" s="1407"/>
      <c r="G19" s="1407"/>
      <c r="H19" s="1407"/>
      <c r="I19" s="1407"/>
      <c r="J19" s="1407"/>
      <c r="K19" s="1407"/>
      <c r="L19" s="1407"/>
    </row>
    <row r="20" spans="1:12" ht="15" customHeight="1">
      <c r="A20" s="1407"/>
      <c r="B20" s="1407"/>
      <c r="C20" s="1407"/>
      <c r="D20" s="1407"/>
      <c r="E20" s="1407"/>
      <c r="F20" s="1407"/>
      <c r="G20" s="1407"/>
      <c r="H20" s="1407"/>
      <c r="I20" s="1407"/>
      <c r="J20" s="1407"/>
      <c r="K20" s="1407"/>
      <c r="L20" s="1407"/>
    </row>
    <row r="21" spans="1:12" ht="15" customHeight="1">
      <c r="A21" s="1407"/>
      <c r="B21" s="1407"/>
      <c r="C21" s="1407"/>
      <c r="D21" s="1407"/>
      <c r="E21" s="1407"/>
      <c r="F21" s="1407"/>
      <c r="G21" s="1407"/>
      <c r="H21" s="1407"/>
      <c r="I21" s="1407"/>
      <c r="J21" s="1407"/>
      <c r="K21" s="1407"/>
      <c r="L21" s="1407"/>
    </row>
    <row r="22" spans="1:12" ht="15" customHeight="1">
      <c r="A22" s="1407"/>
      <c r="B22" s="1407"/>
      <c r="C22" s="1407"/>
      <c r="D22" s="1407"/>
      <c r="E22" s="1407"/>
      <c r="F22" s="1407"/>
      <c r="G22" s="1407"/>
      <c r="H22" s="1407"/>
      <c r="I22" s="1407"/>
      <c r="J22" s="1407"/>
      <c r="K22" s="1407"/>
      <c r="L22" s="1407"/>
    </row>
    <row r="23" spans="1:12" ht="15" customHeight="1">
      <c r="A23" s="1407"/>
      <c r="B23" s="1407"/>
      <c r="C23" s="1407"/>
      <c r="D23" s="1407"/>
      <c r="E23" s="1407"/>
      <c r="F23" s="1407"/>
      <c r="G23" s="1407"/>
      <c r="H23" s="1407"/>
      <c r="I23" s="1407"/>
      <c r="J23" s="1407"/>
      <c r="K23" s="1407"/>
      <c r="L23" s="1407"/>
    </row>
    <row r="24" spans="1:12" ht="15" customHeight="1">
      <c r="A24" s="1407"/>
      <c r="B24" s="1407"/>
      <c r="C24" s="1407"/>
      <c r="D24" s="1407"/>
      <c r="E24" s="1407"/>
      <c r="F24" s="1407"/>
      <c r="G24" s="1407"/>
      <c r="H24" s="1407"/>
      <c r="I24" s="1407"/>
      <c r="J24" s="1407"/>
      <c r="K24" s="1407"/>
      <c r="L24" s="1407"/>
    </row>
    <row r="25" spans="1:12" ht="15" customHeight="1">
      <c r="A25" s="1407"/>
      <c r="B25" s="1407"/>
      <c r="C25" s="1407"/>
      <c r="D25" s="1407"/>
      <c r="E25" s="1407"/>
      <c r="F25" s="1407"/>
      <c r="G25" s="1407"/>
      <c r="H25" s="1407"/>
      <c r="I25" s="1407"/>
      <c r="J25" s="1407"/>
      <c r="K25" s="1407"/>
      <c r="L25" s="1407"/>
    </row>
    <row r="26" spans="1:12" ht="15" customHeight="1">
      <c r="A26" s="1407"/>
      <c r="B26" s="1407"/>
      <c r="C26" s="1407"/>
      <c r="D26" s="1407"/>
      <c r="E26" s="1407"/>
      <c r="F26" s="1407"/>
      <c r="G26" s="1407"/>
      <c r="H26" s="1407"/>
      <c r="I26" s="1407"/>
      <c r="J26" s="1407"/>
      <c r="K26" s="1407"/>
      <c r="L26" s="1407"/>
    </row>
    <row r="27" spans="1:12" ht="15" customHeight="1">
      <c r="A27" s="1407"/>
      <c r="B27" s="1407"/>
      <c r="C27" s="1407"/>
      <c r="D27" s="1407"/>
      <c r="E27" s="1407"/>
      <c r="F27" s="1407"/>
      <c r="G27" s="1407"/>
      <c r="H27" s="1407"/>
      <c r="I27" s="1407"/>
      <c r="J27" s="1407"/>
      <c r="K27" s="1407"/>
      <c r="L27" s="1407"/>
    </row>
    <row r="28" spans="1:12" s="20" customFormat="1" ht="15" customHeight="1"/>
    <row r="29" spans="1:12" ht="15" customHeight="1">
      <c r="A29" s="1404" t="s">
        <v>161</v>
      </c>
      <c r="B29" s="1405"/>
      <c r="C29" s="1405"/>
      <c r="D29" s="1405"/>
      <c r="E29" s="1405"/>
      <c r="F29" s="1405"/>
      <c r="G29" s="1405"/>
      <c r="H29" s="1405"/>
      <c r="I29" s="1405"/>
      <c r="J29" s="1405"/>
      <c r="K29" s="1405"/>
      <c r="L29" s="1406"/>
    </row>
    <row r="30" spans="1:12" ht="15" customHeight="1">
      <c r="A30" s="615"/>
      <c r="B30" s="615"/>
      <c r="C30" s="615"/>
      <c r="D30" s="615"/>
      <c r="E30" s="615"/>
      <c r="F30" s="615"/>
      <c r="G30" s="615"/>
      <c r="H30" s="615"/>
      <c r="I30" s="615"/>
      <c r="J30" s="615"/>
      <c r="K30" s="615"/>
      <c r="L30" s="615"/>
    </row>
    <row r="31" spans="1:12" s="18" customFormat="1" ht="15" customHeight="1">
      <c r="A31" s="21"/>
      <c r="B31" s="21"/>
      <c r="C31" s="8"/>
      <c r="D31" s="8"/>
      <c r="E31" s="8"/>
      <c r="F31" s="8"/>
      <c r="G31" s="8"/>
      <c r="H31" s="8"/>
      <c r="I31" s="8"/>
      <c r="J31" s="8"/>
      <c r="K31" s="8"/>
      <c r="L31" s="8"/>
    </row>
    <row r="32" spans="1:12" ht="15" customHeight="1">
      <c r="A32" s="21"/>
      <c r="B32" s="88"/>
      <c r="D32" s="8" t="s">
        <v>280</v>
      </c>
    </row>
    <row r="33" spans="1:12" ht="15" customHeight="1">
      <c r="A33" s="21"/>
      <c r="B33" s="22"/>
    </row>
    <row r="34" spans="1:12" ht="15" customHeight="1">
      <c r="A34" s="21"/>
      <c r="B34" s="23"/>
      <c r="C34" s="24"/>
      <c r="D34" s="25" t="s">
        <v>5</v>
      </c>
    </row>
    <row r="35" spans="1:12" ht="15" customHeight="1">
      <c r="A35" s="21"/>
      <c r="B35" s="26"/>
    </row>
    <row r="36" spans="1:12" ht="15" customHeight="1">
      <c r="A36" s="21"/>
      <c r="B36" s="135"/>
      <c r="D36" s="8" t="s">
        <v>281</v>
      </c>
    </row>
    <row r="37" spans="1:12" ht="15" customHeight="1">
      <c r="A37" s="21"/>
      <c r="B37" s="21"/>
    </row>
    <row r="38" spans="1:12" s="4" customFormat="1" ht="15" customHeight="1">
      <c r="A38" s="27"/>
      <c r="B38" s="28"/>
      <c r="D38" s="29" t="s">
        <v>19</v>
      </c>
      <c r="E38" s="30"/>
      <c r="F38" s="30"/>
      <c r="G38" s="30"/>
      <c r="H38" s="30"/>
      <c r="I38" s="30"/>
      <c r="J38" s="30"/>
      <c r="K38" s="30"/>
    </row>
    <row r="39" spans="1:12" s="4" customFormat="1" ht="15" customHeight="1">
      <c r="A39" s="27"/>
      <c r="B39" s="27"/>
      <c r="D39" s="30"/>
      <c r="E39" s="30"/>
      <c r="F39" s="30"/>
      <c r="G39" s="30"/>
      <c r="H39" s="30"/>
      <c r="I39" s="30"/>
      <c r="J39" s="30"/>
      <c r="K39" s="30"/>
    </row>
    <row r="41" spans="1:12" s="18" customFormat="1" ht="15" customHeight="1">
      <c r="A41" s="1404" t="s">
        <v>162</v>
      </c>
      <c r="B41" s="1405"/>
      <c r="C41" s="1405"/>
      <c r="D41" s="1405"/>
      <c r="E41" s="1405"/>
      <c r="F41" s="1405"/>
      <c r="G41" s="1405"/>
      <c r="H41" s="1405"/>
      <c r="I41" s="1405"/>
      <c r="J41" s="1405"/>
      <c r="K41" s="1405"/>
      <c r="L41" s="1406"/>
    </row>
    <row r="42" spans="1:12" ht="15" customHeight="1">
      <c r="A42" s="18"/>
      <c r="B42" s="18"/>
      <c r="C42" s="18"/>
      <c r="D42" s="18"/>
      <c r="E42" s="18"/>
      <c r="F42" s="18"/>
      <c r="G42" s="18"/>
      <c r="H42" s="18"/>
      <c r="I42" s="18"/>
      <c r="J42" s="18"/>
      <c r="K42" s="18"/>
      <c r="L42" s="18"/>
    </row>
    <row r="43" spans="1:12" ht="15" customHeight="1">
      <c r="A43" s="223" t="s">
        <v>224</v>
      </c>
      <c r="B43" s="18"/>
      <c r="C43" s="18"/>
      <c r="D43" s="18"/>
      <c r="E43" s="18"/>
      <c r="F43" s="18"/>
      <c r="G43" s="18"/>
      <c r="H43" s="18"/>
      <c r="I43" s="18"/>
      <c r="J43" s="18"/>
      <c r="K43" s="18"/>
      <c r="L43" s="18"/>
    </row>
    <row r="44" spans="1:12" ht="15" customHeight="1">
      <c r="A44" s="18"/>
      <c r="B44" s="18"/>
      <c r="C44" s="18"/>
      <c r="D44" s="18"/>
      <c r="E44" s="18"/>
      <c r="F44" s="18"/>
      <c r="G44" s="18"/>
      <c r="H44" s="18"/>
      <c r="I44" s="18"/>
      <c r="J44" s="18"/>
      <c r="K44" s="18"/>
      <c r="L44" s="18"/>
    </row>
    <row r="45" spans="1:12" s="9" customFormat="1" ht="15" customHeight="1">
      <c r="A45" s="37" t="s">
        <v>163</v>
      </c>
      <c r="B45" s="32"/>
    </row>
    <row r="46" spans="1:12" ht="15" customHeight="1">
      <c r="A46" s="37" t="s">
        <v>170</v>
      </c>
    </row>
    <row r="47" spans="1:12" ht="15" customHeight="1">
      <c r="A47" s="37" t="s">
        <v>171</v>
      </c>
    </row>
    <row r="48" spans="1:12" ht="15" customHeight="1">
      <c r="A48" s="37" t="s">
        <v>130</v>
      </c>
    </row>
    <row r="49" spans="1:23" ht="15" customHeight="1">
      <c r="A49" s="37" t="s">
        <v>337</v>
      </c>
    </row>
    <row r="50" spans="1:23" ht="15" customHeight="1">
      <c r="A50" s="37" t="s">
        <v>338</v>
      </c>
    </row>
    <row r="51" spans="1:23" ht="15" customHeight="1">
      <c r="A51" s="37" t="s">
        <v>339</v>
      </c>
    </row>
    <row r="52" spans="1:23" ht="15" customHeight="1">
      <c r="A52" s="37" t="s">
        <v>340</v>
      </c>
    </row>
    <row r="53" spans="1:23" ht="15" customHeight="1">
      <c r="A53" s="37" t="s">
        <v>145</v>
      </c>
    </row>
    <row r="54" spans="1:23" ht="15" customHeight="1">
      <c r="A54" s="38" t="s">
        <v>164</v>
      </c>
    </row>
    <row r="55" spans="1:23" ht="15" customHeight="1">
      <c r="A55" s="38" t="s">
        <v>169</v>
      </c>
      <c r="B55" s="103"/>
      <c r="C55" s="103"/>
      <c r="D55" s="103"/>
      <c r="E55" s="103"/>
    </row>
    <row r="56" spans="1:23" ht="15" customHeight="1">
      <c r="A56" s="38" t="s">
        <v>221</v>
      </c>
    </row>
    <row r="57" spans="1:23" ht="15" customHeight="1">
      <c r="A57" s="38" t="s">
        <v>222</v>
      </c>
    </row>
    <row r="58" spans="1:23" ht="15" customHeight="1">
      <c r="A58" s="18"/>
    </row>
    <row r="59" spans="1:23" ht="15" customHeight="1">
      <c r="A59" s="223" t="s">
        <v>527</v>
      </c>
    </row>
    <row r="60" spans="1:23" ht="15" customHeight="1">
      <c r="A60" s="18"/>
    </row>
    <row r="61" spans="1:23" ht="15" customHeight="1">
      <c r="A61" s="38" t="s">
        <v>385</v>
      </c>
    </row>
    <row r="62" spans="1:23" ht="15" customHeight="1">
      <c r="A62" s="38" t="s">
        <v>484</v>
      </c>
      <c r="B62" s="31"/>
      <c r="C62" s="31"/>
      <c r="D62" s="31"/>
      <c r="E62" s="31"/>
      <c r="F62" s="31"/>
      <c r="G62" s="31"/>
      <c r="H62" s="32"/>
    </row>
    <row r="63" spans="1:23" ht="15" customHeight="1">
      <c r="A63" s="38" t="s">
        <v>486</v>
      </c>
    </row>
    <row r="64" spans="1:23" ht="15" customHeight="1">
      <c r="A64" s="38" t="s">
        <v>528</v>
      </c>
      <c r="M64" s="33"/>
      <c r="N64" s="33"/>
      <c r="O64" s="33"/>
      <c r="P64" s="33"/>
      <c r="Q64" s="33"/>
      <c r="R64" s="33"/>
      <c r="S64" s="33"/>
      <c r="T64" s="33"/>
      <c r="U64" s="33"/>
      <c r="V64" s="33"/>
      <c r="W64" s="33"/>
    </row>
    <row r="65" spans="1:23" ht="15" customHeight="1">
      <c r="A65" s="18"/>
      <c r="M65" s="33"/>
      <c r="N65" s="33"/>
      <c r="O65" s="33"/>
      <c r="P65" s="33"/>
      <c r="Q65" s="33"/>
      <c r="R65" s="33"/>
      <c r="S65" s="33"/>
      <c r="T65" s="33"/>
      <c r="U65" s="33"/>
      <c r="V65" s="33"/>
      <c r="W65" s="33"/>
    </row>
    <row r="66" spans="1:23" ht="15" customHeight="1">
      <c r="A66" s="223" t="s">
        <v>529</v>
      </c>
      <c r="M66" s="33"/>
      <c r="N66" s="33"/>
      <c r="O66" s="33"/>
      <c r="P66" s="33"/>
      <c r="Q66" s="33"/>
      <c r="R66" s="33"/>
      <c r="S66" s="33"/>
      <c r="T66" s="33"/>
      <c r="U66" s="33"/>
      <c r="V66" s="33"/>
      <c r="W66" s="33"/>
    </row>
    <row r="67" spans="1:23" ht="15" customHeight="1">
      <c r="A67" s="18"/>
      <c r="M67" s="33"/>
      <c r="N67" s="33"/>
      <c r="O67" s="33"/>
      <c r="P67" s="33"/>
      <c r="Q67" s="33"/>
      <c r="R67" s="33"/>
      <c r="S67" s="33"/>
      <c r="T67" s="33"/>
      <c r="U67" s="33"/>
      <c r="V67" s="33"/>
      <c r="W67" s="33"/>
    </row>
    <row r="68" spans="1:23" ht="15" customHeight="1">
      <c r="A68" s="38" t="s">
        <v>530</v>
      </c>
      <c r="B68" s="31"/>
      <c r="C68" s="31"/>
      <c r="D68" s="31"/>
      <c r="E68" s="31"/>
      <c r="F68" s="31"/>
      <c r="G68" s="32"/>
      <c r="M68" s="33"/>
      <c r="N68" s="33"/>
      <c r="O68" s="33"/>
      <c r="P68" s="33"/>
      <c r="Q68" s="33"/>
      <c r="R68" s="33"/>
      <c r="S68" s="33"/>
      <c r="T68" s="33"/>
      <c r="U68" s="33"/>
      <c r="V68" s="33"/>
      <c r="W68" s="33"/>
    </row>
    <row r="69" spans="1:23" ht="15" customHeight="1">
      <c r="A69" s="38" t="s">
        <v>531</v>
      </c>
      <c r="M69" s="33"/>
      <c r="N69" s="33"/>
      <c r="O69" s="33"/>
      <c r="P69" s="33"/>
      <c r="Q69" s="33"/>
      <c r="R69" s="33"/>
      <c r="S69" s="33"/>
      <c r="T69" s="33"/>
      <c r="U69" s="33"/>
      <c r="V69" s="33"/>
      <c r="W69" s="33"/>
    </row>
    <row r="70" spans="1:23" ht="15" customHeight="1">
      <c r="A70" s="38" t="s">
        <v>532</v>
      </c>
      <c r="M70" s="33"/>
      <c r="N70" s="33"/>
      <c r="O70" s="33"/>
      <c r="P70" s="33"/>
      <c r="Q70" s="33"/>
      <c r="R70" s="33"/>
      <c r="S70" s="33"/>
      <c r="T70" s="33"/>
      <c r="U70" s="33"/>
      <c r="V70" s="33"/>
      <c r="W70" s="33"/>
    </row>
    <row r="71" spans="1:23" ht="15" customHeight="1">
      <c r="A71" s="38" t="s">
        <v>533</v>
      </c>
      <c r="M71" s="33"/>
      <c r="N71" s="33"/>
      <c r="O71" s="33"/>
      <c r="P71" s="33"/>
      <c r="Q71" s="33"/>
      <c r="R71" s="33"/>
      <c r="S71" s="33"/>
      <c r="T71" s="33"/>
      <c r="U71" s="33"/>
      <c r="V71" s="33"/>
      <c r="W71" s="33"/>
    </row>
    <row r="72" spans="1:23" ht="15" customHeight="1">
      <c r="A72" s="38" t="s">
        <v>534</v>
      </c>
      <c r="M72" s="33"/>
      <c r="N72" s="33"/>
      <c r="O72" s="33"/>
      <c r="P72" s="33"/>
      <c r="Q72" s="33"/>
      <c r="R72" s="33"/>
      <c r="S72" s="33"/>
      <c r="T72" s="33"/>
      <c r="U72" s="33"/>
      <c r="V72" s="33"/>
      <c r="W72" s="33"/>
    </row>
    <row r="73" spans="1:23" ht="15" customHeight="1">
      <c r="A73" s="38" t="s">
        <v>535</v>
      </c>
    </row>
    <row r="74" spans="1:23" ht="15" customHeight="1">
      <c r="A74" s="38" t="s">
        <v>538</v>
      </c>
    </row>
    <row r="75" spans="1:23" ht="15" customHeight="1">
      <c r="A75" s="18"/>
    </row>
    <row r="76" spans="1:23" ht="15" customHeight="1">
      <c r="A76" s="38" t="s">
        <v>536</v>
      </c>
    </row>
    <row r="77" spans="1:23" ht="15" customHeight="1">
      <c r="A77" s="19"/>
    </row>
    <row r="78" spans="1:23" ht="15" customHeight="1">
      <c r="A78" s="38" t="s">
        <v>537</v>
      </c>
    </row>
    <row r="79" spans="1:23" ht="15" customHeight="1">
      <c r="A79" s="19"/>
      <c r="B79" s="31"/>
      <c r="C79" s="31"/>
      <c r="D79" s="31"/>
      <c r="E79" s="32"/>
      <c r="F79" s="32"/>
      <c r="G79" s="32"/>
    </row>
    <row r="80" spans="1:23" ht="15" customHeight="1">
      <c r="A80" s="38" t="s">
        <v>568</v>
      </c>
    </row>
    <row r="81" spans="1:12" ht="15" customHeight="1">
      <c r="A81" s="31"/>
    </row>
    <row r="82" spans="1:12" ht="15" customHeight="1">
      <c r="A82" s="18"/>
    </row>
    <row r="83" spans="1:12" ht="15" customHeight="1">
      <c r="A83" s="19"/>
    </row>
    <row r="84" spans="1:12" ht="15" customHeight="1">
      <c r="A84" s="19"/>
    </row>
    <row r="85" spans="1:12" ht="15" customHeight="1">
      <c r="A85" s="19"/>
      <c r="B85" s="31"/>
      <c r="C85" s="31"/>
      <c r="D85" s="31"/>
      <c r="E85" s="31"/>
      <c r="F85" s="31"/>
      <c r="G85" s="31"/>
      <c r="H85" s="31"/>
      <c r="I85" s="31"/>
      <c r="J85" s="31"/>
      <c r="K85" s="31"/>
      <c r="L85" s="31"/>
    </row>
    <row r="86" spans="1:12" ht="15" customHeight="1">
      <c r="A86" s="18"/>
    </row>
    <row r="87" spans="1:12" ht="15" customHeight="1">
      <c r="A87" s="31"/>
    </row>
    <row r="88" spans="1:12" ht="15" customHeight="1">
      <c r="A88" s="18"/>
    </row>
    <row r="89" spans="1:12" ht="15" customHeight="1">
      <c r="A89" s="18"/>
    </row>
    <row r="90" spans="1:12" ht="15" customHeight="1">
      <c r="A90" s="18"/>
      <c r="B90" s="31"/>
      <c r="C90" s="31"/>
      <c r="D90" s="32"/>
      <c r="E90" s="32"/>
      <c r="F90" s="32"/>
    </row>
    <row r="91" spans="1:12" ht="15" customHeight="1">
      <c r="A91" s="18"/>
    </row>
    <row r="92" spans="1:12" ht="15" customHeight="1">
      <c r="A92" s="31"/>
    </row>
    <row r="93" spans="1:12" ht="15" customHeight="1">
      <c r="A93" s="18"/>
    </row>
    <row r="94" spans="1:12" ht="15" customHeight="1">
      <c r="A94" s="18"/>
    </row>
    <row r="95" spans="1:12" ht="15" customHeight="1">
      <c r="A95" s="18"/>
    </row>
    <row r="96" spans="1:12" s="4" customFormat="1" ht="15" customHeight="1">
      <c r="A96" s="18"/>
      <c r="B96" s="31"/>
      <c r="C96" s="31"/>
      <c r="D96" s="31"/>
      <c r="E96" s="31"/>
      <c r="F96" s="31"/>
      <c r="G96" s="31"/>
      <c r="H96" s="31"/>
      <c r="I96" s="31"/>
    </row>
    <row r="97" spans="1:21" s="4" customFormat="1" ht="15" customHeight="1">
      <c r="A97" s="18"/>
    </row>
    <row r="98" spans="1:21" s="4" customFormat="1" ht="15" customHeight="1">
      <c r="A98" s="31"/>
    </row>
    <row r="99" spans="1:21" s="4" customFormat="1" ht="15" customHeight="1"/>
    <row r="100" spans="1:21" s="4" customFormat="1" ht="15" customHeight="1"/>
    <row r="101" spans="1:21" s="4" customFormat="1" ht="15" customHeight="1"/>
    <row r="102" spans="1:21" ht="15" customHeight="1">
      <c r="A102" s="34"/>
    </row>
    <row r="103" spans="1:21" ht="15" customHeight="1">
      <c r="A103" s="34"/>
    </row>
    <row r="104" spans="1:21" ht="15" customHeight="1">
      <c r="A104" s="18"/>
    </row>
    <row r="105" spans="1:21" s="4" customFormat="1" ht="15" customHeight="1">
      <c r="A105" s="18"/>
      <c r="B105" s="31"/>
      <c r="C105" s="31"/>
      <c r="D105" s="31"/>
      <c r="E105" s="31"/>
      <c r="F105" s="31"/>
      <c r="G105" s="103"/>
      <c r="H105" s="103"/>
      <c r="I105" s="103"/>
      <c r="J105" s="103"/>
      <c r="K105" s="103"/>
    </row>
    <row r="106" spans="1:21" s="4" customFormat="1" ht="15" customHeight="1">
      <c r="A106" s="18"/>
      <c r="M106" s="35"/>
      <c r="N106" s="35"/>
      <c r="O106" s="35"/>
      <c r="P106" s="35"/>
      <c r="Q106" s="35"/>
      <c r="R106" s="35"/>
      <c r="S106" s="35"/>
      <c r="T106" s="35"/>
      <c r="U106" s="35"/>
    </row>
    <row r="107" spans="1:21" s="4" customFormat="1" ht="15" customHeight="1">
      <c r="A107" s="31"/>
      <c r="M107" s="35"/>
      <c r="N107" s="35"/>
      <c r="O107" s="35"/>
      <c r="P107" s="35"/>
      <c r="Q107" s="35"/>
      <c r="R107" s="35"/>
      <c r="S107" s="35"/>
      <c r="T107" s="35"/>
      <c r="U107" s="35"/>
    </row>
    <row r="108" spans="1:21" s="4" customFormat="1" ht="15" customHeight="1">
      <c r="M108" s="35"/>
      <c r="N108" s="35"/>
      <c r="O108" s="35"/>
      <c r="P108" s="35"/>
      <c r="Q108" s="35"/>
      <c r="R108" s="35"/>
      <c r="S108" s="35"/>
      <c r="T108" s="35"/>
      <c r="U108" s="35"/>
    </row>
    <row r="109" spans="1:21" s="4" customFormat="1" ht="15" customHeight="1">
      <c r="M109" s="35"/>
      <c r="N109" s="35"/>
      <c r="O109" s="35"/>
      <c r="P109" s="35"/>
      <c r="Q109" s="35"/>
      <c r="R109" s="35"/>
      <c r="S109" s="35"/>
      <c r="T109" s="35"/>
      <c r="U109" s="35"/>
    </row>
    <row r="110" spans="1:21" s="4" customFormat="1" ht="15" customHeight="1">
      <c r="M110" s="35"/>
      <c r="N110" s="35"/>
      <c r="O110" s="35"/>
      <c r="P110" s="35"/>
      <c r="Q110" s="35"/>
      <c r="R110" s="35"/>
      <c r="S110" s="35"/>
      <c r="T110" s="35"/>
      <c r="U110" s="35"/>
    </row>
    <row r="111" spans="1:21" s="4" customFormat="1" ht="15" customHeight="1">
      <c r="A111" s="34"/>
      <c r="M111" s="35"/>
      <c r="N111" s="35"/>
      <c r="O111" s="35"/>
      <c r="P111" s="35"/>
      <c r="Q111" s="35"/>
      <c r="R111" s="35"/>
      <c r="S111" s="35"/>
      <c r="T111" s="35"/>
      <c r="U111" s="35"/>
    </row>
    <row r="112" spans="1:21" s="4" customFormat="1" ht="15" customHeight="1">
      <c r="A112" s="34"/>
      <c r="M112" s="35"/>
      <c r="N112" s="35"/>
      <c r="O112" s="35"/>
      <c r="P112" s="35"/>
      <c r="Q112" s="35"/>
      <c r="R112" s="35"/>
      <c r="S112" s="35"/>
      <c r="T112" s="35"/>
      <c r="U112" s="35"/>
    </row>
    <row r="113" spans="1:12" s="4" customFormat="1" ht="15" customHeight="1">
      <c r="A113" s="34"/>
    </row>
    <row r="114" spans="1:12" s="4" customFormat="1" ht="15" customHeight="1">
      <c r="A114" s="34"/>
    </row>
    <row r="115" spans="1:12" s="4" customFormat="1" ht="15" customHeight="1">
      <c r="A115" s="34"/>
    </row>
    <row r="116" spans="1:12" ht="15" customHeight="1">
      <c r="A116" s="34"/>
      <c r="B116" s="31"/>
      <c r="C116" s="31"/>
      <c r="D116" s="31"/>
      <c r="E116" s="32"/>
      <c r="F116" s="32"/>
      <c r="G116" s="32"/>
    </row>
    <row r="117" spans="1:12" ht="15" customHeight="1">
      <c r="A117" s="34"/>
    </row>
    <row r="118" spans="1:12" ht="15" customHeight="1">
      <c r="A118" s="31"/>
    </row>
    <row r="120" spans="1:12" ht="15" customHeight="1">
      <c r="A120" s="36"/>
    </row>
    <row r="121" spans="1:12" ht="15" customHeight="1">
      <c r="A121" s="19"/>
      <c r="B121" s="31"/>
      <c r="C121" s="31"/>
      <c r="D121" s="31"/>
      <c r="E121" s="31"/>
      <c r="F121" s="31"/>
      <c r="G121" s="31"/>
      <c r="H121" s="31"/>
      <c r="I121" s="31"/>
      <c r="J121" s="31"/>
      <c r="K121" s="31"/>
      <c r="L121" s="32"/>
    </row>
    <row r="123" spans="1:12" ht="15" customHeight="1">
      <c r="A123" s="31"/>
    </row>
    <row r="124" spans="1:12" ht="15" customHeight="1">
      <c r="A124" s="18"/>
    </row>
    <row r="125" spans="1:12" ht="15" customHeight="1">
      <c r="A125" s="18"/>
    </row>
    <row r="126" spans="1:12" ht="15" customHeight="1">
      <c r="A126" s="18"/>
    </row>
    <row r="127" spans="1:12" ht="15" customHeight="1">
      <c r="A127" s="18"/>
    </row>
    <row r="128" spans="1:12" ht="15" customHeight="1">
      <c r="A128" s="18"/>
      <c r="B128" s="31"/>
      <c r="C128" s="31"/>
      <c r="D128" s="31"/>
      <c r="E128" s="31"/>
      <c r="F128" s="31"/>
      <c r="G128" s="32"/>
    </row>
    <row r="129" spans="1:8" ht="15" customHeight="1">
      <c r="A129" s="18"/>
    </row>
    <row r="130" spans="1:8" ht="15" customHeight="1">
      <c r="A130" s="31"/>
    </row>
    <row r="131" spans="1:8" ht="15" customHeight="1">
      <c r="A131" s="18"/>
    </row>
    <row r="132" spans="1:8" ht="15" customHeight="1">
      <c r="A132" s="19"/>
    </row>
    <row r="133" spans="1:8" ht="15" customHeight="1">
      <c r="A133" s="18"/>
    </row>
    <row r="134" spans="1:8" ht="15" customHeight="1">
      <c r="A134" s="18"/>
      <c r="B134" s="31"/>
      <c r="C134" s="31"/>
      <c r="D134" s="31"/>
      <c r="E134" s="31"/>
      <c r="F134" s="31"/>
      <c r="G134" s="32"/>
      <c r="H134" s="32"/>
    </row>
    <row r="136" spans="1:8" ht="15" customHeight="1">
      <c r="A136" s="31"/>
    </row>
    <row r="137" spans="1:8" ht="15" customHeight="1">
      <c r="A137" s="18"/>
    </row>
    <row r="138" spans="1:8" ht="15" customHeight="1">
      <c r="A138" s="18"/>
    </row>
    <row r="139" spans="1:8" ht="15" customHeight="1">
      <c r="A139" s="18"/>
    </row>
    <row r="140" spans="1:8" ht="15" customHeight="1">
      <c r="A140" s="19"/>
    </row>
    <row r="141" spans="1:8" ht="15" customHeight="1">
      <c r="A141" s="19"/>
    </row>
    <row r="142" spans="1:8" ht="15" customHeight="1">
      <c r="A142" s="19"/>
      <c r="B142" s="31"/>
      <c r="C142" s="31"/>
      <c r="D142" s="32"/>
      <c r="E142" s="32"/>
      <c r="F142" s="32"/>
      <c r="G142" s="32"/>
    </row>
    <row r="144" spans="1:8" ht="15" customHeight="1">
      <c r="A144" s="31"/>
    </row>
    <row r="147" spans="1:11" ht="15" customHeight="1">
      <c r="A147" s="19"/>
    </row>
    <row r="148" spans="1:11" ht="15" customHeight="1">
      <c r="A148" s="19"/>
      <c r="B148" s="31"/>
      <c r="C148" s="31"/>
      <c r="D148" s="31"/>
      <c r="E148" s="31"/>
      <c r="F148" s="31"/>
      <c r="G148" s="31"/>
      <c r="H148" s="31"/>
      <c r="I148" s="31"/>
      <c r="J148" s="31"/>
      <c r="K148" s="32"/>
    </row>
    <row r="150" spans="1:11" ht="15" customHeight="1">
      <c r="A150" s="31"/>
    </row>
    <row r="151" spans="1:11" ht="15" customHeight="1">
      <c r="A151" s="18"/>
    </row>
    <row r="152" spans="1:11" ht="15" customHeight="1">
      <c r="A152" s="18"/>
    </row>
    <row r="153" spans="1:11" ht="15" customHeight="1">
      <c r="A153" s="18"/>
      <c r="B153" s="32"/>
      <c r="C153" s="32"/>
      <c r="D153" s="32"/>
    </row>
    <row r="155" spans="1:11" ht="15" customHeight="1">
      <c r="A155" s="32"/>
    </row>
    <row r="158" spans="1:11" ht="15" customHeight="1">
      <c r="B158" s="32"/>
      <c r="C158" s="32"/>
      <c r="D158" s="32"/>
      <c r="E158" s="32"/>
    </row>
    <row r="160" spans="1:11" ht="15" customHeight="1">
      <c r="A160" s="32"/>
    </row>
    <row r="163" spans="1:5" ht="15" customHeight="1">
      <c r="B163" s="31"/>
      <c r="C163" s="31"/>
      <c r="D163" s="31"/>
      <c r="E163" s="31"/>
    </row>
    <row r="165" spans="1:5" ht="15" customHeight="1">
      <c r="A165" s="31"/>
    </row>
    <row r="167" spans="1:5" ht="15" customHeight="1">
      <c r="B167" s="32"/>
      <c r="C167" s="32"/>
      <c r="D167" s="32"/>
    </row>
    <row r="169" spans="1:5" ht="15" customHeight="1">
      <c r="A169" s="32"/>
    </row>
    <row r="172" spans="1:5" ht="15" customHeight="1">
      <c r="B172" s="32"/>
      <c r="C172" s="32"/>
      <c r="D172" s="32"/>
    </row>
    <row r="174" spans="1:5" ht="15" customHeight="1">
      <c r="A174" s="32"/>
    </row>
  </sheetData>
  <sheetProtection sheet="1" objects="1" scenarios="1"/>
  <mergeCells count="7">
    <mergeCell ref="A2:L2"/>
    <mergeCell ref="A16:L16"/>
    <mergeCell ref="A18:L27"/>
    <mergeCell ref="A29:L29"/>
    <mergeCell ref="A41:L41"/>
    <mergeCell ref="F6:I6"/>
    <mergeCell ref="F7:I7"/>
  </mergeCells>
  <dataValidations count="1">
    <dataValidation type="list" allowBlank="1" showInputMessage="1" showErrorMessage="1" sqref="I12" xr:uid="{E4D7E5AF-7004-460E-97C4-9598293420B1}">
      <formula1>"2022,2023,2024"</formula1>
    </dataValidation>
  </dataValidations>
  <hyperlinks>
    <hyperlink ref="A45" location="ASSUMPTIES!A1" display="Assumpties" xr:uid="{00000000-0004-0000-0000-000000000000}"/>
    <hyperlink ref="A54" location="'T2'!A1" display="TABEL 1: Budget per tariefcomponent voor gereguleerde activiteit 'elektriciteit'" xr:uid="{00000000-0004-0000-0000-000001000000}"/>
    <hyperlink ref="A55" location="'T2'!A1" display="TABEL 2: Budget per energierichting, spanningsniveau en klantengroep voor gereguleerde activiteit 'elektriciteit'" xr:uid="{00000000-0004-0000-0000-000002000000}"/>
    <hyperlink ref="A46" location="VDSL!A1" display="Verdeelsleutels" xr:uid="{00000000-0004-0000-0000-000003000000}"/>
    <hyperlink ref="A47" location="REKENVOLUMES!A1" display="Rekenvolumes" xr:uid="{00000000-0004-0000-0000-000004000000}"/>
    <hyperlink ref="A56" location="'T3'!A1" display="TABEL 3: Tarieven vóór de toepassing van de maximumtarieven" xr:uid="{00000000-0004-0000-0000-000005000000}"/>
    <hyperlink ref="A57" location="'T4'!A1" display="TABEL 4: Tarieven na de toepassing van de maximumtarieven" xr:uid="{00000000-0004-0000-0000-000006000000}"/>
    <hyperlink ref="A48" location="MAXIMUM!A1" display="Maximum" xr:uid="{00000000-0004-0000-0000-000007000000}"/>
    <hyperlink ref="A49" location="'Max Afname TRHS'!A1" display="Max Afname TRHS" xr:uid="{B266AD43-8361-49FA-A089-AABB68C77BE9}"/>
    <hyperlink ref="A50" location="'Max Afname MS'!A1" display="Max Afname MS" xr:uid="{1D5464AA-6592-4569-8913-008732DCAAB8}"/>
    <hyperlink ref="A51" location="'Max Afname TRLS'!A1" display="Max Afname TRLS" xr:uid="{FEEBF6B3-1073-4D62-9AAD-42B4182A9B08}"/>
    <hyperlink ref="A52" location="'Max Afname LS'!A1" display="Max Afname LS" xr:uid="{94619F77-7DC9-46C0-BF36-E4B28AFFE011}"/>
    <hyperlink ref="A53" location="'Max Injectie'!A1" display="Max Injectie" xr:uid="{8FFA10CC-EC5A-48F5-B7CC-D65B25510F36}"/>
    <hyperlink ref="A64" location="'T8'!A1" display="TABEL 8: Rekenvolumes en reconciliatie van budget voor gereguleerde activiteit 'aardgas'" xr:uid="{7F622ABC-8317-4B90-8A10-2C4D377157DA}"/>
    <hyperlink ref="A63" location="'T7'!A1" display="TABEL 7: Periodieke distributienettarieven voor gereguleerde activiteit 'aardgas'" xr:uid="{307E51D0-39D6-46A9-B146-87D9631E8B6F}"/>
    <hyperlink ref="A62" location="'T6'!A1" display="TABEL 6: Budget per energierichting en klantengroep voor gereguleerde activiteit 'aardgas'" xr:uid="{23383B72-6916-4AAC-A6B2-B73CF8EBC139}"/>
    <hyperlink ref="A61" location="'T5'!A1" display="TABEL 5: Budget per tariefcomponent voor gereguleerde activiteit 'aardgas'" xr:uid="{914B541C-1023-4A02-B2E1-1AD6511AFA42}"/>
    <hyperlink ref="A68" location="'ELEK Afname'!A1" display="ELEK Afname" xr:uid="{792AD356-66E3-4DB5-9155-CEA4A9C95E5F}"/>
    <hyperlink ref="A69" location="'ELEK Afname Trans HS'!A1" display="ELEK Afname Trans HS" xr:uid="{105CF465-E048-4D0E-801A-A5F4EE295693}"/>
    <hyperlink ref="A70" location="'ELEK Afname &gt;26-36 kV'!A1" display="ELEK Afname &gt;26-36 kV" xr:uid="{7C8BCE03-CB79-4456-8E4E-CF61D1DEC73D}"/>
    <hyperlink ref="A71" location="'ELEK Afname 26-1 kV'!A1" display="ELEK Afname 26-1 kV" xr:uid="{49BAF0C2-C8E6-450B-B3B0-3E1CA48B9F7B}"/>
    <hyperlink ref="A72" location="'ELEK Afname Trans LS'!A1" display="ELEK Afname Trans LS" xr:uid="{90731D79-463F-4B55-9D88-A305AEC06C31}"/>
    <hyperlink ref="A73" location="'ELEK Afname LS'!A1" display="ELEK Afname LS" xr:uid="{28A2746E-F40B-4EAD-BBE5-94D08E502E1A}"/>
    <hyperlink ref="A74" location="'ELEK Afname Doorvoer'!A1" display="ELEK Afname Doorvoer" xr:uid="{0AE58A8F-BC3A-423A-9435-700C3DECE5CF}"/>
    <hyperlink ref="A76" location="'ELEK Injectie'!A1" display="ELEK Injectie" xr:uid="{CC06E8CA-27F9-4AD2-8F38-4F4619B67828}"/>
    <hyperlink ref="A78" location="'GAS Afname'!A1" display="GAS Afname" xr:uid="{4EC429E3-A11B-40B0-8BB0-D0C1A2BB51D3}"/>
    <hyperlink ref="A80" location="'GAS Injectie'!A1" display="Gas Injectie" xr:uid="{79A64CD5-F75E-41F1-B735-6F6C44F1E9EE}"/>
  </hyperlinks>
  <pageMargins left="0.98425196850393704" right="0.23622047244094491" top="0.82677165354330717" bottom="0.70866141732283472" header="0.74803149606299213" footer="0.47244094488188981"/>
  <pageSetup paperSize="8" scale="52" orientation="portrait" r:id="rId1"/>
  <headerFooter alignWithMargins="0">
    <oddFooter>&amp;C&amp;P/&amp;N</oddFooter>
  </headerFooter>
  <colBreaks count="1" manualBreakCount="1">
    <brk id="13" max="1048575"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D58F3D-6920-4D54-8F0B-828179F16DCB}">
  <sheetPr published="0"/>
  <dimension ref="A1:T40"/>
  <sheetViews>
    <sheetView zoomScaleNormal="100" workbookViewId="0">
      <selection activeCell="D4" sqref="D4:E4"/>
    </sheetView>
  </sheetViews>
  <sheetFormatPr defaultColWidth="20.7109375" defaultRowHeight="15"/>
  <cols>
    <col min="1" max="1" width="20.7109375" style="591"/>
    <col min="2" max="2" width="25.85546875" style="591" customWidth="1"/>
    <col min="3" max="16" width="20.7109375" style="591"/>
    <col min="17" max="17" width="20.7109375" style="591" customWidth="1"/>
    <col min="18" max="18" width="5.7109375" style="591" customWidth="1"/>
    <col min="19" max="16384" width="20.7109375" style="591"/>
  </cols>
  <sheetData>
    <row r="1" spans="1:17" ht="30" customHeight="1" thickBot="1">
      <c r="A1" s="1425" t="s">
        <v>351</v>
      </c>
      <c r="B1" s="1426"/>
      <c r="C1" s="1426"/>
      <c r="D1" s="1426"/>
      <c r="E1" s="1426"/>
      <c r="F1" s="1426"/>
      <c r="G1" s="1426"/>
      <c r="H1" s="1426"/>
      <c r="I1" s="1426"/>
      <c r="J1" s="1426"/>
      <c r="K1" s="1426"/>
      <c r="L1" s="1426"/>
      <c r="M1" s="1426"/>
      <c r="N1" s="1426"/>
      <c r="O1" s="1426"/>
      <c r="P1" s="1426"/>
      <c r="Q1" s="1494"/>
    </row>
    <row r="2" spans="1:17">
      <c r="B2" s="1"/>
      <c r="C2" s="1"/>
      <c r="D2" s="1"/>
      <c r="E2" s="1"/>
      <c r="F2" s="1"/>
      <c r="G2" s="1"/>
      <c r="H2" s="1"/>
      <c r="I2" s="1"/>
      <c r="J2" s="1"/>
      <c r="K2" s="1"/>
    </row>
    <row r="3" spans="1:17" ht="15.75" thickBot="1">
      <c r="B3" s="1"/>
      <c r="C3" s="1"/>
      <c r="D3" s="1"/>
      <c r="E3" s="1"/>
      <c r="F3" s="1"/>
      <c r="G3" s="1"/>
      <c r="H3" s="1"/>
      <c r="I3" s="1"/>
      <c r="J3" s="1"/>
      <c r="K3" s="1"/>
    </row>
    <row r="4" spans="1:17" ht="15.75" thickBot="1">
      <c r="B4" s="129" t="s">
        <v>6</v>
      </c>
      <c r="C4" s="168"/>
      <c r="D4" s="1418" t="str">
        <f>DNB</f>
        <v>Naam distributienetbeheerder</v>
      </c>
      <c r="E4" s="1420"/>
      <c r="I4" s="168"/>
      <c r="K4" s="1"/>
    </row>
    <row r="6" spans="1:17" ht="15.75" thickBot="1"/>
    <row r="7" spans="1:17" ht="18">
      <c r="I7" s="1509" t="s">
        <v>152</v>
      </c>
      <c r="J7" s="210" t="s">
        <v>318</v>
      </c>
      <c r="K7" s="447" t="e">
        <f>INDEX(Tabel3B[Afnameklanten op LS met piekmeting],4)</f>
        <v>#DIV/0!</v>
      </c>
      <c r="L7" s="452" t="e">
        <f>$K$7*$L$15</f>
        <v>#DIV/0!</v>
      </c>
      <c r="M7" s="398"/>
      <c r="N7" s="398"/>
      <c r="O7" s="400"/>
      <c r="P7" s="400"/>
      <c r="Q7" s="443"/>
    </row>
    <row r="8" spans="1:17" ht="18">
      <c r="I8" s="1510"/>
      <c r="J8" s="211" t="s">
        <v>115</v>
      </c>
      <c r="K8" s="451" t="e">
        <f>INDEX(Tabel3B[Afnameklanten op LS met piekmeting],6)</f>
        <v>#DIV/0!</v>
      </c>
      <c r="L8" s="895" t="e">
        <f>$K$8*$L$15</f>
        <v>#DIV/0!</v>
      </c>
      <c r="M8" s="411" t="e">
        <f>INDEX(Tabel3B[Afnameklanten op LS met piekmeting],15)</f>
        <v>#VALUE!</v>
      </c>
      <c r="N8" s="411" t="e">
        <f>INDEX(Tabel3B[Afnameklanten op LS met piekmeting],17)</f>
        <v>#VALUE!</v>
      </c>
      <c r="O8" s="412" t="e">
        <f>INDEX(Tabel3B[Afnameklanten op LS met piekmeting],19)</f>
        <v>#DIV/0!</v>
      </c>
      <c r="P8" s="412" t="e">
        <f>INDEX(Tabel3B[Afnameklanten op LS met piekmeting],20)</f>
        <v>#DIV/0!</v>
      </c>
      <c r="Q8" s="444"/>
    </row>
    <row r="9" spans="1:17" ht="18">
      <c r="I9" s="1510"/>
      <c r="J9" s="211" t="s">
        <v>218</v>
      </c>
      <c r="K9" s="451" t="e">
        <f>INDEX(Tabel3B[Afnameklanten op LS met piekmeting],6)</f>
        <v>#DIV/0!</v>
      </c>
      <c r="L9" s="895" t="e">
        <f>$K$9*$L$15</f>
        <v>#DIV/0!</v>
      </c>
      <c r="M9" s="411" t="e">
        <f>INDEX(Tabel3B[Afnameklanten op LS met piekmeting],16)</f>
        <v>#VALUE!</v>
      </c>
      <c r="N9" s="410"/>
      <c r="O9" s="413"/>
      <c r="P9" s="413"/>
      <c r="Q9" s="444"/>
    </row>
    <row r="10" spans="1:17">
      <c r="I10" s="1510"/>
      <c r="J10" s="392" t="s">
        <v>7</v>
      </c>
      <c r="K10" s="448"/>
      <c r="L10" s="404"/>
      <c r="M10" s="404"/>
      <c r="N10" s="404"/>
      <c r="O10" s="406"/>
      <c r="P10" s="414"/>
      <c r="Q10" s="439" t="e">
        <f>INDEX(Tabel3B[Afnameklanten op LS met piekmeting],9)</f>
        <v>#DIV/0!</v>
      </c>
    </row>
    <row r="11" spans="1:17">
      <c r="I11" s="1510"/>
      <c r="J11" s="393" t="s">
        <v>8</v>
      </c>
      <c r="K11" s="448"/>
      <c r="L11" s="404"/>
      <c r="M11" s="404"/>
      <c r="N11" s="404"/>
      <c r="O11" s="406"/>
      <c r="P11" s="414"/>
      <c r="Q11" s="439" t="e">
        <f>INDEX(Tabel3B[Afnameklanten op LS met piekmeting],10)</f>
        <v>#DIV/0!</v>
      </c>
    </row>
    <row r="12" spans="1:17">
      <c r="I12" s="1510"/>
      <c r="J12" s="393" t="s">
        <v>127</v>
      </c>
      <c r="K12" s="435"/>
      <c r="L12" s="436"/>
      <c r="M12" s="436"/>
      <c r="N12" s="436"/>
      <c r="O12" s="437"/>
      <c r="P12" s="437"/>
      <c r="Q12" s="439" t="e">
        <f>INDEX(Tabel3B[Afnameklanten op LS met piekmeting],11)</f>
        <v>#DIV/0!</v>
      </c>
    </row>
    <row r="13" spans="1:17" ht="15.75" thickBot="1">
      <c r="I13" s="1510"/>
      <c r="J13" s="393" t="s">
        <v>128</v>
      </c>
      <c r="K13" s="435"/>
      <c r="L13" s="436"/>
      <c r="M13" s="436"/>
      <c r="N13" s="436"/>
      <c r="O13" s="437"/>
      <c r="P13" s="437"/>
      <c r="Q13" s="439" t="e">
        <f>INDEX(Tabel3B[Afnameklanten op LS met piekmeting],12)</f>
        <v>#DIV/0!</v>
      </c>
    </row>
    <row r="14" spans="1:17" ht="30" customHeight="1" thickBot="1">
      <c r="I14" s="1510"/>
      <c r="J14" s="211" t="s">
        <v>130</v>
      </c>
      <c r="K14" s="1543">
        <v>0</v>
      </c>
      <c r="L14" s="1501"/>
      <c r="M14" s="1501"/>
      <c r="N14" s="1501"/>
      <c r="O14" s="1502"/>
      <c r="P14" s="1502"/>
      <c r="Q14" s="445"/>
    </row>
    <row r="15" spans="1:17" ht="30" customHeight="1" thickBot="1">
      <c r="I15" s="1511"/>
      <c r="J15" s="213" t="s">
        <v>136</v>
      </c>
      <c r="K15" s="390"/>
      <c r="L15" s="605">
        <f>PROCENT_VERHOGING_NA_MAX</f>
        <v>1</v>
      </c>
      <c r="M15" s="207"/>
      <c r="N15" s="207"/>
      <c r="O15" s="389"/>
      <c r="P15" s="389"/>
      <c r="Q15" s="446"/>
    </row>
    <row r="16" spans="1:17" ht="15.75" thickBot="1"/>
    <row r="17" spans="1:20" ht="30" customHeight="1" thickBot="1">
      <c r="K17" s="600" t="s">
        <v>137</v>
      </c>
      <c r="L17" s="601" t="s">
        <v>140</v>
      </c>
      <c r="M17" s="606" t="s">
        <v>85</v>
      </c>
      <c r="N17" s="608" t="s">
        <v>9</v>
      </c>
      <c r="O17" s="1517" t="s">
        <v>562</v>
      </c>
      <c r="P17" s="1507" t="s">
        <v>561</v>
      </c>
      <c r="Q17" s="610" t="s">
        <v>84</v>
      </c>
      <c r="S17" s="1498" t="s">
        <v>138</v>
      </c>
      <c r="T17" s="1452"/>
    </row>
    <row r="18" spans="1:20" ht="18.75" thickBot="1">
      <c r="A18" s="602" t="s">
        <v>146</v>
      </c>
      <c r="B18" s="183" t="s">
        <v>107</v>
      </c>
      <c r="C18" s="581" t="s">
        <v>214</v>
      </c>
      <c r="D18" s="184" t="s">
        <v>563</v>
      </c>
      <c r="E18" s="185" t="s">
        <v>25</v>
      </c>
      <c r="F18" s="186" t="s">
        <v>352</v>
      </c>
      <c r="G18" s="186" t="s">
        <v>343</v>
      </c>
      <c r="H18" s="383" t="s">
        <v>344</v>
      </c>
      <c r="I18" s="187" t="s">
        <v>345</v>
      </c>
      <c r="K18" s="449" t="s">
        <v>83</v>
      </c>
      <c r="L18" s="450" t="s">
        <v>83</v>
      </c>
      <c r="M18" s="607"/>
      <c r="N18" s="609"/>
      <c r="O18" s="1518"/>
      <c r="P18" s="1508"/>
      <c r="Q18" s="611"/>
      <c r="S18" s="188" t="s">
        <v>130</v>
      </c>
      <c r="T18" s="189" t="s">
        <v>131</v>
      </c>
    </row>
    <row r="19" spans="1:20">
      <c r="A19" s="769"/>
      <c r="B19" s="770"/>
      <c r="C19" s="771"/>
      <c r="D19" s="772"/>
      <c r="E19" s="773"/>
      <c r="F19" s="774"/>
      <c r="G19" s="774"/>
      <c r="H19" s="775"/>
      <c r="I19" s="776"/>
      <c r="K19" s="815" t="e">
        <f t="shared" ref="K19:K37" si="0">IF($B19="Doorvoer op LS met piekmeting",FACTOR_DOORVOER,1)*($K$7*$F19+$K$8*($G19+$H19)+$K$9*$I19)</f>
        <v>#DIV/0!</v>
      </c>
      <c r="L19" s="791" t="e">
        <f t="shared" ref="L19:L37" si="1">IF($B19="Doorvoer op LS met piekmeting",FACTOR_DOORVOER,1)*($L$7*$F19+$L$8*($G19+$H19)+$L$9*$I19)</f>
        <v>#DIV/0!</v>
      </c>
      <c r="M19" s="793" t="e">
        <f t="shared" ref="M19:M37" si="2">IF($B19="Doorvoer op LS met piekmeting",FACTOR_DOORVOER,1)*$M$8*($G19+$H19)+$M$9*$I19</f>
        <v>#VALUE!</v>
      </c>
      <c r="N19" s="816" t="e">
        <f t="shared" ref="N19:N37" si="3">IF($B19="Doorvoer op LS met piekmeting",FACTOR_DOORVOER,1)*$N$8*($G19+$H19+$I19)</f>
        <v>#VALUE!</v>
      </c>
      <c r="O19" s="817" t="e">
        <f t="shared" ref="O19:O37" si="4">IF($B19="Doorvoer op LS met piekmeting",FACTOR_DOORVOER,1)*$O$8*($G19+$H19+$I19)</f>
        <v>#DIV/0!</v>
      </c>
      <c r="P19" s="817" t="e">
        <f t="shared" ref="P19:P37" si="5">IF($B19="Doorvoer op LS met piekmeting",FACTOR_DOORVOER,1)*$P$8*(($G19+$H19+$I19)-IF($D19="x",0.15*MAX($G19+$H19+$I19-20000,0)+0.05*MAX($G19+$H19+$I19-50000,0)+0.05*MAX($G19+$H19+$I19-1000000,0)+0.2*MAX($G19+$H19+$I19-25000000,0),0))</f>
        <v>#DIV/0!</v>
      </c>
      <c r="Q19" s="896" t="e">
        <f t="shared" ref="Q19:Q37" si="6">IF($B19="Doorvoer op LS met piekmeting",FACTOR_DOORVOER,1)*INDEX($Q$10:$Q$13,MATCH($E19,$J$10:$J$13,0))</f>
        <v>#N/A</v>
      </c>
      <c r="S19" s="812" t="e">
        <f t="shared" ref="S19:S37" si="7">IF($B19="Doorvoer op LS met piekmeting",FACTOR_DOORVOER,1)*MAX(FACTOR_VAST*$L$7,$K$14*($G19+$H19+$I19))</f>
        <v>#DIV/0!</v>
      </c>
      <c r="T19" s="813" t="e">
        <f t="shared" ref="T19:T37" si="8">IF($C19="x",0,MAX(SUM($L19,$M19:$P19)-$S19,0))</f>
        <v>#DIV/0!</v>
      </c>
    </row>
    <row r="20" spans="1:20">
      <c r="A20" s="777"/>
      <c r="B20" s="655"/>
      <c r="C20" s="778"/>
      <c r="D20" s="653"/>
      <c r="E20" s="779"/>
      <c r="F20" s="780"/>
      <c r="G20" s="780"/>
      <c r="H20" s="781"/>
      <c r="I20" s="782"/>
      <c r="K20" s="803" t="e">
        <f t="shared" si="0"/>
        <v>#DIV/0!</v>
      </c>
      <c r="L20" s="799" t="e">
        <f t="shared" si="1"/>
        <v>#DIV/0!</v>
      </c>
      <c r="M20" s="799" t="e">
        <f t="shared" si="2"/>
        <v>#VALUE!</v>
      </c>
      <c r="N20" s="801" t="e">
        <f t="shared" si="3"/>
        <v>#VALUE!</v>
      </c>
      <c r="O20" s="798" t="e">
        <f t="shared" si="4"/>
        <v>#DIV/0!</v>
      </c>
      <c r="P20" s="798" t="e">
        <f t="shared" si="5"/>
        <v>#DIV/0!</v>
      </c>
      <c r="Q20" s="897" t="e">
        <f t="shared" si="6"/>
        <v>#N/A</v>
      </c>
      <c r="S20" s="803" t="e">
        <f t="shared" si="7"/>
        <v>#DIV/0!</v>
      </c>
      <c r="T20" s="802" t="e">
        <f t="shared" si="8"/>
        <v>#DIV/0!</v>
      </c>
    </row>
    <row r="21" spans="1:20">
      <c r="A21" s="777"/>
      <c r="B21" s="655"/>
      <c r="C21" s="778"/>
      <c r="D21" s="653"/>
      <c r="E21" s="779"/>
      <c r="F21" s="780"/>
      <c r="G21" s="780"/>
      <c r="H21" s="781"/>
      <c r="I21" s="782"/>
      <c r="K21" s="803" t="e">
        <f t="shared" si="0"/>
        <v>#DIV/0!</v>
      </c>
      <c r="L21" s="799" t="e">
        <f t="shared" si="1"/>
        <v>#DIV/0!</v>
      </c>
      <c r="M21" s="799" t="e">
        <f t="shared" si="2"/>
        <v>#VALUE!</v>
      </c>
      <c r="N21" s="801" t="e">
        <f t="shared" si="3"/>
        <v>#VALUE!</v>
      </c>
      <c r="O21" s="798" t="e">
        <f t="shared" si="4"/>
        <v>#DIV/0!</v>
      </c>
      <c r="P21" s="798" t="e">
        <f t="shared" si="5"/>
        <v>#DIV/0!</v>
      </c>
      <c r="Q21" s="897" t="e">
        <f t="shared" si="6"/>
        <v>#N/A</v>
      </c>
      <c r="S21" s="803" t="e">
        <f t="shared" si="7"/>
        <v>#DIV/0!</v>
      </c>
      <c r="T21" s="802" t="e">
        <f t="shared" si="8"/>
        <v>#DIV/0!</v>
      </c>
    </row>
    <row r="22" spans="1:20">
      <c r="A22" s="777"/>
      <c r="B22" s="655"/>
      <c r="C22" s="778"/>
      <c r="D22" s="653"/>
      <c r="E22" s="779"/>
      <c r="F22" s="780"/>
      <c r="G22" s="780"/>
      <c r="H22" s="781"/>
      <c r="I22" s="782"/>
      <c r="K22" s="803" t="e">
        <f t="shared" si="0"/>
        <v>#DIV/0!</v>
      </c>
      <c r="L22" s="799" t="e">
        <f t="shared" si="1"/>
        <v>#DIV/0!</v>
      </c>
      <c r="M22" s="799" t="e">
        <f t="shared" si="2"/>
        <v>#VALUE!</v>
      </c>
      <c r="N22" s="801" t="e">
        <f t="shared" si="3"/>
        <v>#VALUE!</v>
      </c>
      <c r="O22" s="798" t="e">
        <f t="shared" si="4"/>
        <v>#DIV/0!</v>
      </c>
      <c r="P22" s="798" t="e">
        <f t="shared" si="5"/>
        <v>#DIV/0!</v>
      </c>
      <c r="Q22" s="897" t="e">
        <f t="shared" si="6"/>
        <v>#N/A</v>
      </c>
      <c r="S22" s="803" t="e">
        <f t="shared" si="7"/>
        <v>#DIV/0!</v>
      </c>
      <c r="T22" s="802" t="e">
        <f t="shared" si="8"/>
        <v>#DIV/0!</v>
      </c>
    </row>
    <row r="23" spans="1:20">
      <c r="A23" s="777"/>
      <c r="B23" s="655"/>
      <c r="C23" s="778"/>
      <c r="D23" s="653"/>
      <c r="E23" s="779"/>
      <c r="F23" s="780"/>
      <c r="G23" s="780"/>
      <c r="H23" s="781"/>
      <c r="I23" s="782"/>
      <c r="K23" s="803" t="e">
        <f t="shared" si="0"/>
        <v>#DIV/0!</v>
      </c>
      <c r="L23" s="799" t="e">
        <f t="shared" si="1"/>
        <v>#DIV/0!</v>
      </c>
      <c r="M23" s="799" t="e">
        <f t="shared" si="2"/>
        <v>#VALUE!</v>
      </c>
      <c r="N23" s="801" t="e">
        <f t="shared" si="3"/>
        <v>#VALUE!</v>
      </c>
      <c r="O23" s="798" t="e">
        <f t="shared" si="4"/>
        <v>#DIV/0!</v>
      </c>
      <c r="P23" s="798" t="e">
        <f t="shared" si="5"/>
        <v>#DIV/0!</v>
      </c>
      <c r="Q23" s="897" t="e">
        <f t="shared" si="6"/>
        <v>#N/A</v>
      </c>
      <c r="S23" s="803" t="e">
        <f t="shared" si="7"/>
        <v>#DIV/0!</v>
      </c>
      <c r="T23" s="802" t="e">
        <f t="shared" si="8"/>
        <v>#DIV/0!</v>
      </c>
    </row>
    <row r="24" spans="1:20">
      <c r="A24" s="777"/>
      <c r="B24" s="655"/>
      <c r="C24" s="778"/>
      <c r="D24" s="653"/>
      <c r="E24" s="779"/>
      <c r="F24" s="780"/>
      <c r="G24" s="780"/>
      <c r="H24" s="781"/>
      <c r="I24" s="782"/>
      <c r="K24" s="803" t="e">
        <f t="shared" si="0"/>
        <v>#DIV/0!</v>
      </c>
      <c r="L24" s="799" t="e">
        <f t="shared" si="1"/>
        <v>#DIV/0!</v>
      </c>
      <c r="M24" s="799" t="e">
        <f t="shared" si="2"/>
        <v>#VALUE!</v>
      </c>
      <c r="N24" s="801" t="e">
        <f t="shared" si="3"/>
        <v>#VALUE!</v>
      </c>
      <c r="O24" s="798" t="e">
        <f t="shared" si="4"/>
        <v>#DIV/0!</v>
      </c>
      <c r="P24" s="798" t="e">
        <f t="shared" si="5"/>
        <v>#DIV/0!</v>
      </c>
      <c r="Q24" s="897" t="e">
        <f t="shared" si="6"/>
        <v>#N/A</v>
      </c>
      <c r="S24" s="803" t="e">
        <f t="shared" si="7"/>
        <v>#DIV/0!</v>
      </c>
      <c r="T24" s="802" t="e">
        <f t="shared" si="8"/>
        <v>#DIV/0!</v>
      </c>
    </row>
    <row r="25" spans="1:20">
      <c r="A25" s="777"/>
      <c r="B25" s="655"/>
      <c r="C25" s="778"/>
      <c r="D25" s="653"/>
      <c r="E25" s="779"/>
      <c r="F25" s="780"/>
      <c r="G25" s="780"/>
      <c r="H25" s="781"/>
      <c r="I25" s="782"/>
      <c r="K25" s="803" t="e">
        <f t="shared" si="0"/>
        <v>#DIV/0!</v>
      </c>
      <c r="L25" s="799" t="e">
        <f t="shared" si="1"/>
        <v>#DIV/0!</v>
      </c>
      <c r="M25" s="799" t="e">
        <f t="shared" si="2"/>
        <v>#VALUE!</v>
      </c>
      <c r="N25" s="801" t="e">
        <f t="shared" si="3"/>
        <v>#VALUE!</v>
      </c>
      <c r="O25" s="798" t="e">
        <f t="shared" si="4"/>
        <v>#DIV/0!</v>
      </c>
      <c r="P25" s="798" t="e">
        <f t="shared" si="5"/>
        <v>#DIV/0!</v>
      </c>
      <c r="Q25" s="897" t="e">
        <f t="shared" si="6"/>
        <v>#N/A</v>
      </c>
      <c r="S25" s="803" t="e">
        <f t="shared" si="7"/>
        <v>#DIV/0!</v>
      </c>
      <c r="T25" s="802" t="e">
        <f t="shared" si="8"/>
        <v>#DIV/0!</v>
      </c>
    </row>
    <row r="26" spans="1:20">
      <c r="A26" s="777"/>
      <c r="B26" s="655"/>
      <c r="C26" s="778"/>
      <c r="D26" s="653"/>
      <c r="E26" s="779"/>
      <c r="F26" s="780"/>
      <c r="G26" s="780"/>
      <c r="H26" s="781"/>
      <c r="I26" s="782"/>
      <c r="K26" s="803" t="e">
        <f t="shared" si="0"/>
        <v>#DIV/0!</v>
      </c>
      <c r="L26" s="799" t="e">
        <f t="shared" si="1"/>
        <v>#DIV/0!</v>
      </c>
      <c r="M26" s="799" t="e">
        <f t="shared" si="2"/>
        <v>#VALUE!</v>
      </c>
      <c r="N26" s="801" t="e">
        <f t="shared" si="3"/>
        <v>#VALUE!</v>
      </c>
      <c r="O26" s="798" t="e">
        <f t="shared" si="4"/>
        <v>#DIV/0!</v>
      </c>
      <c r="P26" s="798" t="e">
        <f t="shared" si="5"/>
        <v>#DIV/0!</v>
      </c>
      <c r="Q26" s="897" t="e">
        <f t="shared" si="6"/>
        <v>#N/A</v>
      </c>
      <c r="S26" s="803" t="e">
        <f t="shared" si="7"/>
        <v>#DIV/0!</v>
      </c>
      <c r="T26" s="802" t="e">
        <f t="shared" si="8"/>
        <v>#DIV/0!</v>
      </c>
    </row>
    <row r="27" spans="1:20">
      <c r="A27" s="777"/>
      <c r="B27" s="655"/>
      <c r="C27" s="778"/>
      <c r="D27" s="653"/>
      <c r="E27" s="779"/>
      <c r="F27" s="780"/>
      <c r="G27" s="780"/>
      <c r="H27" s="781"/>
      <c r="I27" s="782"/>
      <c r="K27" s="803" t="e">
        <f t="shared" si="0"/>
        <v>#DIV/0!</v>
      </c>
      <c r="L27" s="799" t="e">
        <f t="shared" si="1"/>
        <v>#DIV/0!</v>
      </c>
      <c r="M27" s="799" t="e">
        <f t="shared" si="2"/>
        <v>#VALUE!</v>
      </c>
      <c r="N27" s="801" t="e">
        <f t="shared" si="3"/>
        <v>#VALUE!</v>
      </c>
      <c r="O27" s="798" t="e">
        <f t="shared" si="4"/>
        <v>#DIV/0!</v>
      </c>
      <c r="P27" s="798" t="e">
        <f t="shared" si="5"/>
        <v>#DIV/0!</v>
      </c>
      <c r="Q27" s="897" t="e">
        <f t="shared" si="6"/>
        <v>#N/A</v>
      </c>
      <c r="S27" s="803" t="e">
        <f t="shared" si="7"/>
        <v>#DIV/0!</v>
      </c>
      <c r="T27" s="802" t="e">
        <f t="shared" si="8"/>
        <v>#DIV/0!</v>
      </c>
    </row>
    <row r="28" spans="1:20">
      <c r="A28" s="777"/>
      <c r="B28" s="655"/>
      <c r="C28" s="778"/>
      <c r="D28" s="653"/>
      <c r="E28" s="779"/>
      <c r="F28" s="780"/>
      <c r="G28" s="780"/>
      <c r="H28" s="781"/>
      <c r="I28" s="782"/>
      <c r="K28" s="803" t="e">
        <f t="shared" si="0"/>
        <v>#DIV/0!</v>
      </c>
      <c r="L28" s="799" t="e">
        <f t="shared" si="1"/>
        <v>#DIV/0!</v>
      </c>
      <c r="M28" s="799" t="e">
        <f t="shared" si="2"/>
        <v>#VALUE!</v>
      </c>
      <c r="N28" s="801" t="e">
        <f t="shared" si="3"/>
        <v>#VALUE!</v>
      </c>
      <c r="O28" s="798" t="e">
        <f t="shared" si="4"/>
        <v>#DIV/0!</v>
      </c>
      <c r="P28" s="798" t="e">
        <f t="shared" si="5"/>
        <v>#DIV/0!</v>
      </c>
      <c r="Q28" s="897" t="e">
        <f t="shared" si="6"/>
        <v>#N/A</v>
      </c>
      <c r="S28" s="803" t="e">
        <f t="shared" si="7"/>
        <v>#DIV/0!</v>
      </c>
      <c r="T28" s="802" t="e">
        <f t="shared" si="8"/>
        <v>#DIV/0!</v>
      </c>
    </row>
    <row r="29" spans="1:20">
      <c r="A29" s="777"/>
      <c r="B29" s="655"/>
      <c r="C29" s="778"/>
      <c r="D29" s="653"/>
      <c r="E29" s="779"/>
      <c r="F29" s="780"/>
      <c r="G29" s="780"/>
      <c r="H29" s="781"/>
      <c r="I29" s="782"/>
      <c r="K29" s="803" t="e">
        <f t="shared" si="0"/>
        <v>#DIV/0!</v>
      </c>
      <c r="L29" s="799" t="e">
        <f t="shared" si="1"/>
        <v>#DIV/0!</v>
      </c>
      <c r="M29" s="799" t="e">
        <f t="shared" si="2"/>
        <v>#VALUE!</v>
      </c>
      <c r="N29" s="801" t="e">
        <f t="shared" si="3"/>
        <v>#VALUE!</v>
      </c>
      <c r="O29" s="798" t="e">
        <f t="shared" si="4"/>
        <v>#DIV/0!</v>
      </c>
      <c r="P29" s="798" t="e">
        <f t="shared" si="5"/>
        <v>#DIV/0!</v>
      </c>
      <c r="Q29" s="897" t="e">
        <f t="shared" si="6"/>
        <v>#N/A</v>
      </c>
      <c r="S29" s="803" t="e">
        <f t="shared" si="7"/>
        <v>#DIV/0!</v>
      </c>
      <c r="T29" s="802" t="e">
        <f t="shared" si="8"/>
        <v>#DIV/0!</v>
      </c>
    </row>
    <row r="30" spans="1:20">
      <c r="A30" s="777"/>
      <c r="B30" s="655"/>
      <c r="C30" s="778"/>
      <c r="D30" s="653"/>
      <c r="E30" s="779"/>
      <c r="F30" s="780"/>
      <c r="G30" s="780"/>
      <c r="H30" s="781"/>
      <c r="I30" s="782"/>
      <c r="K30" s="803" t="e">
        <f t="shared" si="0"/>
        <v>#DIV/0!</v>
      </c>
      <c r="L30" s="799" t="e">
        <f t="shared" si="1"/>
        <v>#DIV/0!</v>
      </c>
      <c r="M30" s="799" t="e">
        <f t="shared" si="2"/>
        <v>#VALUE!</v>
      </c>
      <c r="N30" s="801" t="e">
        <f t="shared" si="3"/>
        <v>#VALUE!</v>
      </c>
      <c r="O30" s="798" t="e">
        <f t="shared" si="4"/>
        <v>#DIV/0!</v>
      </c>
      <c r="P30" s="798" t="e">
        <f t="shared" si="5"/>
        <v>#DIV/0!</v>
      </c>
      <c r="Q30" s="897" t="e">
        <f t="shared" si="6"/>
        <v>#N/A</v>
      </c>
      <c r="S30" s="803" t="e">
        <f t="shared" si="7"/>
        <v>#DIV/0!</v>
      </c>
      <c r="T30" s="802" t="e">
        <f t="shared" si="8"/>
        <v>#DIV/0!</v>
      </c>
    </row>
    <row r="31" spans="1:20">
      <c r="A31" s="777"/>
      <c r="B31" s="655"/>
      <c r="C31" s="778"/>
      <c r="D31" s="653"/>
      <c r="E31" s="779"/>
      <c r="F31" s="780"/>
      <c r="G31" s="780"/>
      <c r="H31" s="781"/>
      <c r="I31" s="782"/>
      <c r="K31" s="803" t="e">
        <f t="shared" si="0"/>
        <v>#DIV/0!</v>
      </c>
      <c r="L31" s="799" t="e">
        <f t="shared" si="1"/>
        <v>#DIV/0!</v>
      </c>
      <c r="M31" s="799" t="e">
        <f t="shared" si="2"/>
        <v>#VALUE!</v>
      </c>
      <c r="N31" s="801" t="e">
        <f t="shared" si="3"/>
        <v>#VALUE!</v>
      </c>
      <c r="O31" s="798" t="e">
        <f t="shared" si="4"/>
        <v>#DIV/0!</v>
      </c>
      <c r="P31" s="798" t="e">
        <f t="shared" si="5"/>
        <v>#DIV/0!</v>
      </c>
      <c r="Q31" s="897" t="e">
        <f t="shared" si="6"/>
        <v>#N/A</v>
      </c>
      <c r="S31" s="803" t="e">
        <f t="shared" si="7"/>
        <v>#DIV/0!</v>
      </c>
      <c r="T31" s="802" t="e">
        <f t="shared" si="8"/>
        <v>#DIV/0!</v>
      </c>
    </row>
    <row r="32" spans="1:20">
      <c r="A32" s="777"/>
      <c r="B32" s="655"/>
      <c r="C32" s="778"/>
      <c r="D32" s="653"/>
      <c r="E32" s="779"/>
      <c r="F32" s="780"/>
      <c r="G32" s="780"/>
      <c r="H32" s="781"/>
      <c r="I32" s="782"/>
      <c r="K32" s="803" t="e">
        <f t="shared" si="0"/>
        <v>#DIV/0!</v>
      </c>
      <c r="L32" s="799" t="e">
        <f t="shared" si="1"/>
        <v>#DIV/0!</v>
      </c>
      <c r="M32" s="799" t="e">
        <f t="shared" si="2"/>
        <v>#VALUE!</v>
      </c>
      <c r="N32" s="801" t="e">
        <f t="shared" si="3"/>
        <v>#VALUE!</v>
      </c>
      <c r="O32" s="798" t="e">
        <f t="shared" si="4"/>
        <v>#DIV/0!</v>
      </c>
      <c r="P32" s="798" t="e">
        <f t="shared" si="5"/>
        <v>#DIV/0!</v>
      </c>
      <c r="Q32" s="897" t="e">
        <f t="shared" si="6"/>
        <v>#N/A</v>
      </c>
      <c r="S32" s="803" t="e">
        <f t="shared" si="7"/>
        <v>#DIV/0!</v>
      </c>
      <c r="T32" s="802" t="e">
        <f t="shared" si="8"/>
        <v>#DIV/0!</v>
      </c>
    </row>
    <row r="33" spans="1:20">
      <c r="A33" s="777"/>
      <c r="B33" s="655"/>
      <c r="C33" s="778"/>
      <c r="D33" s="653"/>
      <c r="E33" s="779"/>
      <c r="F33" s="780"/>
      <c r="G33" s="780"/>
      <c r="H33" s="781"/>
      <c r="I33" s="782"/>
      <c r="K33" s="803" t="e">
        <f t="shared" si="0"/>
        <v>#DIV/0!</v>
      </c>
      <c r="L33" s="799" t="e">
        <f t="shared" si="1"/>
        <v>#DIV/0!</v>
      </c>
      <c r="M33" s="799" t="e">
        <f t="shared" si="2"/>
        <v>#VALUE!</v>
      </c>
      <c r="N33" s="801" t="e">
        <f t="shared" si="3"/>
        <v>#VALUE!</v>
      </c>
      <c r="O33" s="798" t="e">
        <f t="shared" si="4"/>
        <v>#DIV/0!</v>
      </c>
      <c r="P33" s="798" t="e">
        <f t="shared" si="5"/>
        <v>#DIV/0!</v>
      </c>
      <c r="Q33" s="897" t="e">
        <f t="shared" si="6"/>
        <v>#N/A</v>
      </c>
      <c r="S33" s="803" t="e">
        <f t="shared" si="7"/>
        <v>#DIV/0!</v>
      </c>
      <c r="T33" s="802" t="e">
        <f t="shared" si="8"/>
        <v>#DIV/0!</v>
      </c>
    </row>
    <row r="34" spans="1:20">
      <c r="A34" s="777"/>
      <c r="B34" s="655"/>
      <c r="C34" s="778"/>
      <c r="D34" s="653"/>
      <c r="E34" s="779"/>
      <c r="F34" s="780"/>
      <c r="G34" s="780"/>
      <c r="H34" s="781"/>
      <c r="I34" s="782"/>
      <c r="K34" s="803" t="e">
        <f t="shared" si="0"/>
        <v>#DIV/0!</v>
      </c>
      <c r="L34" s="799" t="e">
        <f t="shared" si="1"/>
        <v>#DIV/0!</v>
      </c>
      <c r="M34" s="799" t="e">
        <f t="shared" si="2"/>
        <v>#VALUE!</v>
      </c>
      <c r="N34" s="801" t="e">
        <f t="shared" si="3"/>
        <v>#VALUE!</v>
      </c>
      <c r="O34" s="798" t="e">
        <f t="shared" si="4"/>
        <v>#DIV/0!</v>
      </c>
      <c r="P34" s="798" t="e">
        <f t="shared" si="5"/>
        <v>#DIV/0!</v>
      </c>
      <c r="Q34" s="897" t="e">
        <f t="shared" si="6"/>
        <v>#N/A</v>
      </c>
      <c r="S34" s="803" t="e">
        <f t="shared" si="7"/>
        <v>#DIV/0!</v>
      </c>
      <c r="T34" s="802" t="e">
        <f t="shared" si="8"/>
        <v>#DIV/0!</v>
      </c>
    </row>
    <row r="35" spans="1:20">
      <c r="A35" s="777"/>
      <c r="B35" s="655"/>
      <c r="C35" s="778"/>
      <c r="D35" s="653"/>
      <c r="E35" s="779"/>
      <c r="F35" s="780"/>
      <c r="G35" s="780"/>
      <c r="H35" s="781"/>
      <c r="I35" s="782"/>
      <c r="K35" s="803" t="e">
        <f t="shared" si="0"/>
        <v>#DIV/0!</v>
      </c>
      <c r="L35" s="799" t="e">
        <f t="shared" si="1"/>
        <v>#DIV/0!</v>
      </c>
      <c r="M35" s="799" t="e">
        <f t="shared" si="2"/>
        <v>#VALUE!</v>
      </c>
      <c r="N35" s="801" t="e">
        <f t="shared" si="3"/>
        <v>#VALUE!</v>
      </c>
      <c r="O35" s="798" t="e">
        <f t="shared" si="4"/>
        <v>#DIV/0!</v>
      </c>
      <c r="P35" s="798" t="e">
        <f t="shared" si="5"/>
        <v>#DIV/0!</v>
      </c>
      <c r="Q35" s="897" t="e">
        <f t="shared" si="6"/>
        <v>#N/A</v>
      </c>
      <c r="S35" s="803" t="e">
        <f t="shared" si="7"/>
        <v>#DIV/0!</v>
      </c>
      <c r="T35" s="802" t="e">
        <f t="shared" si="8"/>
        <v>#DIV/0!</v>
      </c>
    </row>
    <row r="36" spans="1:20">
      <c r="A36" s="777"/>
      <c r="B36" s="655"/>
      <c r="C36" s="778"/>
      <c r="D36" s="653"/>
      <c r="E36" s="779"/>
      <c r="F36" s="780"/>
      <c r="G36" s="780"/>
      <c r="H36" s="781"/>
      <c r="I36" s="782"/>
      <c r="K36" s="803" t="e">
        <f t="shared" si="0"/>
        <v>#DIV/0!</v>
      </c>
      <c r="L36" s="799" t="e">
        <f t="shared" si="1"/>
        <v>#DIV/0!</v>
      </c>
      <c r="M36" s="799" t="e">
        <f t="shared" si="2"/>
        <v>#VALUE!</v>
      </c>
      <c r="N36" s="801" t="e">
        <f t="shared" si="3"/>
        <v>#VALUE!</v>
      </c>
      <c r="O36" s="798" t="e">
        <f t="shared" si="4"/>
        <v>#DIV/0!</v>
      </c>
      <c r="P36" s="798" t="e">
        <f t="shared" si="5"/>
        <v>#DIV/0!</v>
      </c>
      <c r="Q36" s="897" t="e">
        <f t="shared" si="6"/>
        <v>#N/A</v>
      </c>
      <c r="S36" s="803" t="e">
        <f t="shared" si="7"/>
        <v>#DIV/0!</v>
      </c>
      <c r="T36" s="802" t="e">
        <f t="shared" si="8"/>
        <v>#DIV/0!</v>
      </c>
    </row>
    <row r="37" spans="1:20" ht="15.75" thickBot="1">
      <c r="A37" s="783"/>
      <c r="B37" s="658"/>
      <c r="C37" s="784"/>
      <c r="D37" s="644"/>
      <c r="E37" s="785"/>
      <c r="F37" s="786"/>
      <c r="G37" s="786"/>
      <c r="H37" s="787"/>
      <c r="I37" s="788"/>
      <c r="K37" s="805" t="e">
        <f t="shared" si="0"/>
        <v>#DIV/0!</v>
      </c>
      <c r="L37" s="810" t="e">
        <f t="shared" si="1"/>
        <v>#DIV/0!</v>
      </c>
      <c r="M37" s="810" t="e">
        <f t="shared" si="2"/>
        <v>#VALUE!</v>
      </c>
      <c r="N37" s="894" t="e">
        <f t="shared" si="3"/>
        <v>#VALUE!</v>
      </c>
      <c r="O37" s="819" t="e">
        <f t="shared" si="4"/>
        <v>#DIV/0!</v>
      </c>
      <c r="P37" s="819" t="e">
        <f t="shared" si="5"/>
        <v>#DIV/0!</v>
      </c>
      <c r="Q37" s="898" t="e">
        <f t="shared" si="6"/>
        <v>#N/A</v>
      </c>
      <c r="S37" s="805" t="e">
        <f t="shared" si="7"/>
        <v>#DIV/0!</v>
      </c>
      <c r="T37" s="814" t="e">
        <f t="shared" si="8"/>
        <v>#DIV/0!</v>
      </c>
    </row>
    <row r="38" spans="1:20">
      <c r="A38" s="221"/>
      <c r="B38" s="594" t="s">
        <v>119</v>
      </c>
      <c r="C38" s="131"/>
      <c r="D38" s="222"/>
      <c r="E38" s="191">
        <f>COUNTIFS($B$19:$B$37,$B38)</f>
        <v>0</v>
      </c>
      <c r="F38" s="192">
        <f>SUMIFS(F$19:F$37,$B$19:$B$37,$B38)</f>
        <v>0</v>
      </c>
      <c r="G38" s="192">
        <f t="shared" ref="G38:I39" si="9">SUMIFS(G$19:G$37,$B$19:$B$37,$B38)</f>
        <v>0</v>
      </c>
      <c r="H38" s="384">
        <f t="shared" si="9"/>
        <v>0</v>
      </c>
      <c r="I38" s="193">
        <f t="shared" si="9"/>
        <v>0</v>
      </c>
      <c r="K38" s="214">
        <f>SUMIFS(K$19:K$37,$B$19:$B$37,$B38)</f>
        <v>0</v>
      </c>
      <c r="L38" s="89">
        <f t="shared" ref="L38:Q39" si="10">SUMIFS(L$19:L$37,$B$19:$B$37,$B38)</f>
        <v>0</v>
      </c>
      <c r="M38" s="89">
        <f t="shared" si="10"/>
        <v>0</v>
      </c>
      <c r="N38" s="90">
        <f t="shared" si="10"/>
        <v>0</v>
      </c>
      <c r="O38" s="215"/>
      <c r="P38" s="215">
        <f t="shared" si="10"/>
        <v>0</v>
      </c>
      <c r="Q38" s="438">
        <f t="shared" si="10"/>
        <v>0</v>
      </c>
      <c r="S38" s="214"/>
      <c r="T38" s="194">
        <f>SUMIFS(T$19:T$37,$B$19:$B$37,$B38)</f>
        <v>0</v>
      </c>
    </row>
    <row r="39" spans="1:20" ht="15.75" thickBot="1">
      <c r="A39" s="416"/>
      <c r="B39" s="388" t="s">
        <v>547</v>
      </c>
      <c r="C39" s="295"/>
      <c r="D39" s="417"/>
      <c r="E39" s="418">
        <f>COUNTIFS($B$19:$B$37,$B39)</f>
        <v>0</v>
      </c>
      <c r="F39" s="419">
        <f t="shared" ref="F39" si="11">SUMIFS(F$19:F$37,$B$19:$B$37,$B39)</f>
        <v>0</v>
      </c>
      <c r="G39" s="419">
        <f t="shared" si="9"/>
        <v>0</v>
      </c>
      <c r="H39" s="420">
        <f t="shared" si="9"/>
        <v>0</v>
      </c>
      <c r="I39" s="421">
        <f t="shared" si="9"/>
        <v>0</v>
      </c>
      <c r="K39" s="422">
        <f>SUMIFS(K$19:K$37,$B$19:$B$37,$B39)</f>
        <v>0</v>
      </c>
      <c r="L39" s="595">
        <f t="shared" si="10"/>
        <v>0</v>
      </c>
      <c r="M39" s="595">
        <f t="shared" si="10"/>
        <v>0</v>
      </c>
      <c r="N39" s="424">
        <f t="shared" si="10"/>
        <v>0</v>
      </c>
      <c r="O39" s="423"/>
      <c r="P39" s="423">
        <f t="shared" si="10"/>
        <v>0</v>
      </c>
      <c r="Q39" s="441">
        <f t="shared" si="10"/>
        <v>0</v>
      </c>
      <c r="S39" s="422"/>
      <c r="T39" s="425">
        <f>SUMIFS(T$19:T$37,$B$19:$B$37,$B39)</f>
        <v>0</v>
      </c>
    </row>
    <row r="40" spans="1:20" ht="15.75" thickBot="1">
      <c r="A40" s="583"/>
      <c r="B40" s="603" t="s">
        <v>11</v>
      </c>
      <c r="C40" s="584"/>
      <c r="D40" s="582"/>
      <c r="E40" s="216">
        <f>COUNT(E$19:E$37)</f>
        <v>0</v>
      </c>
      <c r="F40" s="217">
        <f>SUM(F$19:F$37)</f>
        <v>0</v>
      </c>
      <c r="G40" s="217">
        <f t="shared" ref="G40:I40" si="12">SUM(G$19:G$37)</f>
        <v>0</v>
      </c>
      <c r="H40" s="386">
        <f t="shared" si="12"/>
        <v>0</v>
      </c>
      <c r="I40" s="203">
        <f t="shared" si="12"/>
        <v>0</v>
      </c>
      <c r="K40" s="204" t="e">
        <f t="shared" ref="K40:Q40" si="13">SUBTOTAL(109,K$19:K$37)</f>
        <v>#DIV/0!</v>
      </c>
      <c r="L40" s="100" t="e">
        <f t="shared" si="13"/>
        <v>#DIV/0!</v>
      </c>
      <c r="M40" s="382" t="e">
        <f t="shared" si="13"/>
        <v>#VALUE!</v>
      </c>
      <c r="N40" s="101" t="e">
        <f t="shared" si="13"/>
        <v>#VALUE!</v>
      </c>
      <c r="O40" s="99"/>
      <c r="P40" s="99" t="e">
        <f t="shared" si="13"/>
        <v>#DIV/0!</v>
      </c>
      <c r="Q40" s="442" t="e">
        <f t="shared" si="13"/>
        <v>#N/A</v>
      </c>
      <c r="S40" s="204"/>
      <c r="T40" s="205" t="e">
        <f>SUBTOTAL(109,T$19:T$37)</f>
        <v>#DIV/0!</v>
      </c>
    </row>
  </sheetData>
  <sheetProtection algorithmName="SHA-512" hashValue="h4CImrodcKhkiXlxFRNraqxSMCWMCQUspeaysIxLpP0UjZyz6J9aD+oCJMxDkkiGYl/0YzKCLhfkJi5vJfMvTw==" saltValue="5XjR8qQonDBKwkgFLg7vkg==" spinCount="100000" sheet="1" objects="1" scenarios="1" insertRows="0" deleteRows="0" sort="0" autoFilter="0"/>
  <autoFilter ref="A18:T18" xr:uid="{EB761274-3C17-4E98-87F5-165452D75839}"/>
  <mergeCells count="7">
    <mergeCell ref="A1:Q1"/>
    <mergeCell ref="P17:P18"/>
    <mergeCell ref="O17:O18"/>
    <mergeCell ref="S17:T17"/>
    <mergeCell ref="D4:E4"/>
    <mergeCell ref="I7:I15"/>
    <mergeCell ref="K14:P14"/>
  </mergeCells>
  <dataValidations count="3">
    <dataValidation type="list" allowBlank="1" showInputMessage="1" showErrorMessage="1" sqref="E19:E37" xr:uid="{E2D68E6E-A566-4098-8091-7014CDB10018}">
      <formula1>"AMR,MMR,DM - MR1,DM - MR3,KM"</formula1>
    </dataValidation>
    <dataValidation type="list" allowBlank="1" showInputMessage="1" showErrorMessage="1" sqref="C19:D37" xr:uid="{A4038602-1109-40CF-A5DF-7548A80A6573}">
      <formula1>"x"</formula1>
    </dataValidation>
    <dataValidation type="list" allowBlank="1" showInputMessage="1" showErrorMessage="1" sqref="B19:B37" xr:uid="{DD5BD406-1307-4A61-97CD-68E08C3699F2}">
      <formula1>$B$38:$B$39</formula1>
    </dataValidation>
  </dataValidation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A7423B-9CE9-4D2C-842B-C1FACF1FD5BB}">
  <sheetPr published="0"/>
  <dimension ref="A1:J38"/>
  <sheetViews>
    <sheetView workbookViewId="0">
      <selection activeCell="D4" sqref="D4:E4"/>
    </sheetView>
  </sheetViews>
  <sheetFormatPr defaultColWidth="20.7109375" defaultRowHeight="15"/>
  <cols>
    <col min="1" max="1" width="20.7109375" style="591"/>
    <col min="2" max="2" width="25.85546875" style="591" customWidth="1"/>
    <col min="3" max="7" width="20.7109375" style="591"/>
    <col min="8" max="8" width="5.7109375" style="591" customWidth="1"/>
    <col min="9" max="16384" width="20.7109375" style="591"/>
  </cols>
  <sheetData>
    <row r="1" spans="1:10" ht="30" customHeight="1" thickBot="1">
      <c r="A1" s="1425" t="s">
        <v>351</v>
      </c>
      <c r="B1" s="1426"/>
      <c r="C1" s="1426"/>
      <c r="D1" s="1426"/>
      <c r="E1" s="1426"/>
      <c r="F1" s="1426"/>
      <c r="G1" s="1494"/>
    </row>
    <row r="2" spans="1:10">
      <c r="B2" s="1"/>
      <c r="C2" s="1"/>
      <c r="D2" s="1"/>
      <c r="E2" s="1"/>
      <c r="F2" s="1"/>
    </row>
    <row r="3" spans="1:10" ht="15.75" thickBot="1">
      <c r="B3" s="1"/>
      <c r="C3" s="1"/>
      <c r="D3" s="1"/>
      <c r="E3" s="1"/>
      <c r="F3" s="1"/>
    </row>
    <row r="4" spans="1:10" ht="15.75" thickBot="1">
      <c r="B4" s="129" t="s">
        <v>6</v>
      </c>
      <c r="D4" s="1434" t="str">
        <f>DNB</f>
        <v>Naam distributienetbeheerder</v>
      </c>
      <c r="E4" s="1436"/>
      <c r="F4" s="1"/>
    </row>
    <row r="6" spans="1:10" ht="15.75" thickBot="1"/>
    <row r="7" spans="1:10" ht="18">
      <c r="D7" s="1546" t="s">
        <v>152</v>
      </c>
      <c r="E7" s="210" t="s">
        <v>353</v>
      </c>
      <c r="F7" s="453" t="e">
        <f>INDEX(Tabel3B[Injectieklanten (∑)],7)</f>
        <v>#VALUE!</v>
      </c>
      <c r="G7" s="443"/>
    </row>
    <row r="8" spans="1:10" ht="15.75" thickBot="1">
      <c r="D8" s="1510"/>
      <c r="E8" s="393" t="s">
        <v>572</v>
      </c>
      <c r="F8" s="435"/>
      <c r="G8" s="439" t="e">
        <f>INDEX(Tabel3B[Afnameklanten op LS (∑)],12)</f>
        <v>#DIV/0!</v>
      </c>
    </row>
    <row r="9" spans="1:10" ht="30" customHeight="1" thickBot="1">
      <c r="D9" s="1510"/>
      <c r="E9" s="211" t="s">
        <v>130</v>
      </c>
      <c r="F9" s="899">
        <v>0</v>
      </c>
      <c r="G9" s="445"/>
    </row>
    <row r="10" spans="1:10" ht="30" customHeight="1" thickBot="1">
      <c r="D10" s="1511"/>
      <c r="E10" s="213" t="s">
        <v>136</v>
      </c>
      <c r="F10" s="390"/>
      <c r="G10" s="446"/>
    </row>
    <row r="11" spans="1:10" ht="15.75" thickBot="1"/>
    <row r="12" spans="1:10" ht="30" customHeight="1" thickBot="1">
      <c r="F12" s="1544" t="s">
        <v>83</v>
      </c>
      <c r="G12" s="1547" t="s">
        <v>84</v>
      </c>
      <c r="I12" s="1498" t="s">
        <v>138</v>
      </c>
      <c r="J12" s="1452"/>
    </row>
    <row r="13" spans="1:10" ht="18.75" thickBot="1">
      <c r="A13" s="602" t="s">
        <v>146</v>
      </c>
      <c r="B13" s="183" t="s">
        <v>107</v>
      </c>
      <c r="C13" s="185" t="s">
        <v>25</v>
      </c>
      <c r="D13" s="187" t="s">
        <v>353</v>
      </c>
      <c r="F13" s="1545"/>
      <c r="G13" s="1548"/>
      <c r="I13" s="188" t="s">
        <v>130</v>
      </c>
      <c r="J13" s="189" t="s">
        <v>131</v>
      </c>
    </row>
    <row r="14" spans="1:10">
      <c r="A14" s="769"/>
      <c r="B14" s="770"/>
      <c r="C14" s="773"/>
      <c r="D14" s="776"/>
      <c r="F14" s="812" t="e">
        <f>$D14*$F$7</f>
        <v>#VALUE!</v>
      </c>
      <c r="G14" s="896" t="e">
        <f>INDEX($G$8:$G$8,MATCH($C14,$E$8:$E$8,0))</f>
        <v>#N/A</v>
      </c>
      <c r="I14" s="812">
        <f>$F$9*$D14</f>
        <v>0</v>
      </c>
      <c r="J14" s="813" t="e">
        <f>MAX($F14-$I14,0)</f>
        <v>#VALUE!</v>
      </c>
    </row>
    <row r="15" spans="1:10">
      <c r="A15" s="777"/>
      <c r="B15" s="655"/>
      <c r="C15" s="779"/>
      <c r="D15" s="782"/>
      <c r="F15" s="803" t="e">
        <f>$D15*$F$7</f>
        <v>#VALUE!</v>
      </c>
      <c r="G15" s="897" t="e">
        <f t="shared" ref="G15:G32" si="0">INDEX($G$8:$G$8,MATCH($C15,$E$8:$E$8,0))</f>
        <v>#N/A</v>
      </c>
      <c r="I15" s="803">
        <f t="shared" ref="I15:I32" si="1">$F$9*$D15</f>
        <v>0</v>
      </c>
      <c r="J15" s="802" t="e">
        <f t="shared" ref="J15:J32" si="2">MAX($F15-$I15,0)</f>
        <v>#VALUE!</v>
      </c>
    </row>
    <row r="16" spans="1:10">
      <c r="A16" s="777"/>
      <c r="B16" s="655"/>
      <c r="C16" s="779"/>
      <c r="D16" s="782"/>
      <c r="F16" s="803" t="e">
        <f t="shared" ref="F16:F31" si="3">$D16*$F$7</f>
        <v>#VALUE!</v>
      </c>
      <c r="G16" s="897" t="e">
        <f t="shared" si="0"/>
        <v>#N/A</v>
      </c>
      <c r="I16" s="803">
        <f t="shared" si="1"/>
        <v>0</v>
      </c>
      <c r="J16" s="802" t="e">
        <f t="shared" si="2"/>
        <v>#VALUE!</v>
      </c>
    </row>
    <row r="17" spans="1:10">
      <c r="A17" s="777"/>
      <c r="B17" s="655"/>
      <c r="C17" s="779"/>
      <c r="D17" s="782"/>
      <c r="F17" s="803" t="e">
        <f t="shared" si="3"/>
        <v>#VALUE!</v>
      </c>
      <c r="G17" s="897" t="e">
        <f t="shared" si="0"/>
        <v>#N/A</v>
      </c>
      <c r="I17" s="803">
        <f t="shared" si="1"/>
        <v>0</v>
      </c>
      <c r="J17" s="802" t="e">
        <f t="shared" si="2"/>
        <v>#VALUE!</v>
      </c>
    </row>
    <row r="18" spans="1:10">
      <c r="A18" s="777"/>
      <c r="B18" s="655"/>
      <c r="C18" s="779"/>
      <c r="D18" s="782"/>
      <c r="F18" s="803" t="e">
        <f t="shared" si="3"/>
        <v>#VALUE!</v>
      </c>
      <c r="G18" s="897" t="e">
        <f t="shared" si="0"/>
        <v>#N/A</v>
      </c>
      <c r="I18" s="803">
        <f t="shared" si="1"/>
        <v>0</v>
      </c>
      <c r="J18" s="802" t="e">
        <f t="shared" si="2"/>
        <v>#VALUE!</v>
      </c>
    </row>
    <row r="19" spans="1:10">
      <c r="A19" s="777"/>
      <c r="B19" s="655"/>
      <c r="C19" s="779"/>
      <c r="D19" s="782"/>
      <c r="F19" s="803" t="e">
        <f t="shared" si="3"/>
        <v>#VALUE!</v>
      </c>
      <c r="G19" s="897" t="e">
        <f t="shared" si="0"/>
        <v>#N/A</v>
      </c>
      <c r="I19" s="803">
        <f t="shared" si="1"/>
        <v>0</v>
      </c>
      <c r="J19" s="802" t="e">
        <f t="shared" si="2"/>
        <v>#VALUE!</v>
      </c>
    </row>
    <row r="20" spans="1:10">
      <c r="A20" s="777"/>
      <c r="B20" s="655"/>
      <c r="C20" s="779"/>
      <c r="D20" s="782"/>
      <c r="F20" s="803" t="e">
        <f t="shared" si="3"/>
        <v>#VALUE!</v>
      </c>
      <c r="G20" s="897" t="e">
        <f t="shared" si="0"/>
        <v>#N/A</v>
      </c>
      <c r="I20" s="803">
        <f t="shared" si="1"/>
        <v>0</v>
      </c>
      <c r="J20" s="802" t="e">
        <f t="shared" si="2"/>
        <v>#VALUE!</v>
      </c>
    </row>
    <row r="21" spans="1:10">
      <c r="A21" s="777"/>
      <c r="B21" s="655"/>
      <c r="C21" s="779"/>
      <c r="D21" s="782"/>
      <c r="F21" s="803" t="e">
        <f t="shared" si="3"/>
        <v>#VALUE!</v>
      </c>
      <c r="G21" s="897" t="e">
        <f>INDEX($G$8:$G$8,MATCH($C21,$E$8:$E$8,0))</f>
        <v>#N/A</v>
      </c>
      <c r="I21" s="803">
        <f t="shared" si="1"/>
        <v>0</v>
      </c>
      <c r="J21" s="802" t="e">
        <f t="shared" si="2"/>
        <v>#VALUE!</v>
      </c>
    </row>
    <row r="22" spans="1:10">
      <c r="A22" s="777"/>
      <c r="B22" s="655"/>
      <c r="C22" s="779"/>
      <c r="D22" s="782"/>
      <c r="F22" s="803" t="e">
        <f t="shared" si="3"/>
        <v>#VALUE!</v>
      </c>
      <c r="G22" s="897" t="e">
        <f t="shared" si="0"/>
        <v>#N/A</v>
      </c>
      <c r="I22" s="803">
        <f t="shared" si="1"/>
        <v>0</v>
      </c>
      <c r="J22" s="802" t="e">
        <f t="shared" si="2"/>
        <v>#VALUE!</v>
      </c>
    </row>
    <row r="23" spans="1:10">
      <c r="A23" s="777"/>
      <c r="B23" s="655"/>
      <c r="C23" s="779"/>
      <c r="D23" s="782"/>
      <c r="F23" s="803" t="e">
        <f t="shared" si="3"/>
        <v>#VALUE!</v>
      </c>
      <c r="G23" s="897" t="e">
        <f t="shared" si="0"/>
        <v>#N/A</v>
      </c>
      <c r="I23" s="803">
        <f t="shared" si="1"/>
        <v>0</v>
      </c>
      <c r="J23" s="802" t="e">
        <f t="shared" si="2"/>
        <v>#VALUE!</v>
      </c>
    </row>
    <row r="24" spans="1:10">
      <c r="A24" s="777"/>
      <c r="B24" s="655"/>
      <c r="C24" s="779"/>
      <c r="D24" s="782"/>
      <c r="F24" s="803" t="e">
        <f t="shared" si="3"/>
        <v>#VALUE!</v>
      </c>
      <c r="G24" s="897" t="e">
        <f t="shared" si="0"/>
        <v>#N/A</v>
      </c>
      <c r="I24" s="803">
        <f t="shared" si="1"/>
        <v>0</v>
      </c>
      <c r="J24" s="802" t="e">
        <f t="shared" si="2"/>
        <v>#VALUE!</v>
      </c>
    </row>
    <row r="25" spans="1:10">
      <c r="A25" s="777"/>
      <c r="B25" s="655"/>
      <c r="C25" s="779"/>
      <c r="D25" s="782"/>
      <c r="F25" s="803" t="e">
        <f t="shared" si="3"/>
        <v>#VALUE!</v>
      </c>
      <c r="G25" s="897" t="e">
        <f t="shared" si="0"/>
        <v>#N/A</v>
      </c>
      <c r="I25" s="803">
        <f t="shared" si="1"/>
        <v>0</v>
      </c>
      <c r="J25" s="802" t="e">
        <f t="shared" si="2"/>
        <v>#VALUE!</v>
      </c>
    </row>
    <row r="26" spans="1:10">
      <c r="A26" s="777"/>
      <c r="B26" s="655"/>
      <c r="C26" s="779"/>
      <c r="D26" s="782"/>
      <c r="F26" s="803" t="e">
        <f t="shared" si="3"/>
        <v>#VALUE!</v>
      </c>
      <c r="G26" s="897" t="e">
        <f t="shared" si="0"/>
        <v>#N/A</v>
      </c>
      <c r="I26" s="803">
        <f t="shared" si="1"/>
        <v>0</v>
      </c>
      <c r="J26" s="802" t="e">
        <f t="shared" si="2"/>
        <v>#VALUE!</v>
      </c>
    </row>
    <row r="27" spans="1:10">
      <c r="A27" s="777"/>
      <c r="B27" s="655"/>
      <c r="C27" s="779"/>
      <c r="D27" s="782"/>
      <c r="F27" s="803" t="e">
        <f t="shared" si="3"/>
        <v>#VALUE!</v>
      </c>
      <c r="G27" s="897" t="e">
        <f t="shared" si="0"/>
        <v>#N/A</v>
      </c>
      <c r="I27" s="803">
        <f t="shared" si="1"/>
        <v>0</v>
      </c>
      <c r="J27" s="802" t="e">
        <f t="shared" si="2"/>
        <v>#VALUE!</v>
      </c>
    </row>
    <row r="28" spans="1:10">
      <c r="A28" s="777"/>
      <c r="B28" s="655"/>
      <c r="C28" s="779"/>
      <c r="D28" s="782"/>
      <c r="F28" s="803" t="e">
        <f t="shared" si="3"/>
        <v>#VALUE!</v>
      </c>
      <c r="G28" s="897" t="e">
        <f t="shared" si="0"/>
        <v>#N/A</v>
      </c>
      <c r="I28" s="803">
        <f t="shared" si="1"/>
        <v>0</v>
      </c>
      <c r="J28" s="802" t="e">
        <f t="shared" si="2"/>
        <v>#VALUE!</v>
      </c>
    </row>
    <row r="29" spans="1:10">
      <c r="A29" s="777"/>
      <c r="B29" s="655"/>
      <c r="C29" s="779"/>
      <c r="D29" s="782"/>
      <c r="F29" s="803" t="e">
        <f t="shared" si="3"/>
        <v>#VALUE!</v>
      </c>
      <c r="G29" s="897" t="e">
        <f t="shared" si="0"/>
        <v>#N/A</v>
      </c>
      <c r="I29" s="803">
        <f t="shared" si="1"/>
        <v>0</v>
      </c>
      <c r="J29" s="802" t="e">
        <f t="shared" si="2"/>
        <v>#VALUE!</v>
      </c>
    </row>
    <row r="30" spans="1:10">
      <c r="A30" s="777"/>
      <c r="B30" s="655"/>
      <c r="C30" s="779"/>
      <c r="D30" s="782"/>
      <c r="F30" s="803" t="e">
        <f t="shared" si="3"/>
        <v>#VALUE!</v>
      </c>
      <c r="G30" s="897" t="e">
        <f t="shared" si="0"/>
        <v>#N/A</v>
      </c>
      <c r="I30" s="803">
        <f t="shared" si="1"/>
        <v>0</v>
      </c>
      <c r="J30" s="802" t="e">
        <f t="shared" si="2"/>
        <v>#VALUE!</v>
      </c>
    </row>
    <row r="31" spans="1:10">
      <c r="A31" s="777"/>
      <c r="B31" s="655"/>
      <c r="C31" s="779"/>
      <c r="D31" s="782"/>
      <c r="F31" s="803" t="e">
        <f t="shared" si="3"/>
        <v>#VALUE!</v>
      </c>
      <c r="G31" s="897" t="e">
        <f t="shared" si="0"/>
        <v>#N/A</v>
      </c>
      <c r="I31" s="803">
        <f t="shared" si="1"/>
        <v>0</v>
      </c>
      <c r="J31" s="802" t="e">
        <f t="shared" si="2"/>
        <v>#VALUE!</v>
      </c>
    </row>
    <row r="32" spans="1:10" ht="15.75" thickBot="1">
      <c r="A32" s="783"/>
      <c r="B32" s="658"/>
      <c r="C32" s="785"/>
      <c r="D32" s="788"/>
      <c r="F32" s="805" t="e">
        <f>$D32*$F$7</f>
        <v>#VALUE!</v>
      </c>
      <c r="G32" s="898" t="e">
        <f t="shared" si="0"/>
        <v>#N/A</v>
      </c>
      <c r="I32" s="805">
        <f t="shared" si="1"/>
        <v>0</v>
      </c>
      <c r="J32" s="814" t="e">
        <f t="shared" si="2"/>
        <v>#VALUE!</v>
      </c>
    </row>
    <row r="33" spans="1:10">
      <c r="A33" s="221"/>
      <c r="B33" s="594" t="s">
        <v>209</v>
      </c>
      <c r="C33" s="191">
        <f>COUNTIFS($B$14:$B$32,$B33)</f>
        <v>0</v>
      </c>
      <c r="D33" s="193">
        <f>SUMIFS(D$14:D$32,$B$14:$B$32,$B33)</f>
        <v>0</v>
      </c>
      <c r="F33" s="214">
        <f>SUMIFS(F$14:F$32,$B$14:$B$32,$B33)</f>
        <v>0</v>
      </c>
      <c r="G33" s="438">
        <f>SUMIFS(G$14:G$32,$B$14:$B$32,$B33)</f>
        <v>0</v>
      </c>
      <c r="I33" s="214"/>
      <c r="J33" s="194">
        <f>SUMIFS(J$14:J$32,$B$14:$B$32,$B33)</f>
        <v>0</v>
      </c>
    </row>
    <row r="34" spans="1:10">
      <c r="A34" s="391"/>
      <c r="B34" s="387" t="s">
        <v>267</v>
      </c>
      <c r="C34" s="454">
        <f>COUNTIFS($B$14:$B$32,$B34)</f>
        <v>0</v>
      </c>
      <c r="D34" s="455">
        <f>SUMIFS(D$14:D$32,$B$14:$B$32,$B34)</f>
        <v>0</v>
      </c>
      <c r="F34" s="195">
        <f t="shared" ref="F34:G36" si="4">SUMIFS(F$14:F$32,$B$14:$B$32,$B34)</f>
        <v>0</v>
      </c>
      <c r="G34" s="439">
        <f t="shared" si="4"/>
        <v>0</v>
      </c>
      <c r="I34" s="195"/>
      <c r="J34" s="196">
        <f>SUMIFS(J$14:J$32,$B$14:$B$32,$B34)</f>
        <v>0</v>
      </c>
    </row>
    <row r="35" spans="1:10">
      <c r="A35" s="391"/>
      <c r="B35" s="387" t="s">
        <v>271</v>
      </c>
      <c r="C35" s="454">
        <f>COUNTIFS($B$14:$B$32,$B35)</f>
        <v>0</v>
      </c>
      <c r="D35" s="455">
        <f>SUMIFS(D$14:D$32,$B$14:$B$32,$B35)</f>
        <v>0</v>
      </c>
      <c r="F35" s="195">
        <f t="shared" si="4"/>
        <v>0</v>
      </c>
      <c r="G35" s="439">
        <f t="shared" si="4"/>
        <v>0</v>
      </c>
      <c r="I35" s="195"/>
      <c r="J35" s="196">
        <f>SUMIFS(J$14:J$32,$B$14:$B$32,$B35)</f>
        <v>0</v>
      </c>
    </row>
    <row r="36" spans="1:10">
      <c r="A36" s="391"/>
      <c r="B36" s="387" t="s">
        <v>104</v>
      </c>
      <c r="C36" s="454">
        <f>COUNTIFS($B$14:$B$32,$B36)</f>
        <v>0</v>
      </c>
      <c r="D36" s="455">
        <f>SUMIFS(D$14:D$32,$B$14:$B$32,$B36)</f>
        <v>0</v>
      </c>
      <c r="F36" s="195">
        <f t="shared" si="4"/>
        <v>0</v>
      </c>
      <c r="G36" s="439">
        <f t="shared" si="4"/>
        <v>0</v>
      </c>
      <c r="I36" s="195"/>
      <c r="J36" s="196">
        <f>SUMIFS(J$14:J$32,$B$14:$B$32,$B36)</f>
        <v>0</v>
      </c>
    </row>
    <row r="37" spans="1:10" ht="15.75" thickBot="1">
      <c r="A37" s="219"/>
      <c r="B37" s="218" t="s">
        <v>105</v>
      </c>
      <c r="C37" s="197">
        <f>COUNTIFS($B$14:$B$32,$B37)</f>
        <v>0</v>
      </c>
      <c r="D37" s="199">
        <f>SUMIFS(D$14:D$32,$B$14:$B$32,$B37)</f>
        <v>0</v>
      </c>
      <c r="F37" s="200">
        <f>SUMIFS(F$14:F$32,$B$14:$B$32,$B37)</f>
        <v>0</v>
      </c>
      <c r="G37" s="440">
        <f>SUMIFS(G$14:G$32,$B$14:$B$32,$B37)</f>
        <v>0</v>
      </c>
      <c r="I37" s="200"/>
      <c r="J37" s="202">
        <f>SUMIFS(J$14:J$32,$B$14:$B$32,$B37)</f>
        <v>0</v>
      </c>
    </row>
    <row r="38" spans="1:10" ht="15.75" thickBot="1">
      <c r="A38" s="1495" t="s">
        <v>11</v>
      </c>
      <c r="B38" s="1496"/>
      <c r="C38" s="216">
        <f>COUNT(C$14:C$32)</f>
        <v>0</v>
      </c>
      <c r="D38" s="203">
        <f>SUM(D$14:D$32)</f>
        <v>0</v>
      </c>
      <c r="F38" s="204" t="e">
        <f>SUBTOTAL(109,F$14:F$32)</f>
        <v>#VALUE!</v>
      </c>
      <c r="G38" s="442" t="e">
        <f>SUBTOTAL(109,G$14:G$32)</f>
        <v>#N/A</v>
      </c>
      <c r="I38" s="204"/>
      <c r="J38" s="205" t="e">
        <f>SUBTOTAL(109,J$14:J$32)</f>
        <v>#VALUE!</v>
      </c>
    </row>
  </sheetData>
  <sheetProtection algorithmName="SHA-512" hashValue="NKYigjxT6FSCiGPQZxADHWEcGmvlPoAK0BeRmBbI54S8yRvubOJS1H0b8SZzMrhA+fZi9fD7YxWMfAvcW7W04w==" saltValue="QTpfcOzIvm90ZslfCJjv3g==" spinCount="100000" sheet="1" objects="1" scenarios="1" insertRows="0" deleteRows="0" sort="0" autoFilter="0"/>
  <autoFilter ref="A13:J13" xr:uid="{3B76E3B9-BE4A-492F-A0E4-79F36F80CE58}"/>
  <mergeCells count="7">
    <mergeCell ref="I12:J12"/>
    <mergeCell ref="A38:B38"/>
    <mergeCell ref="F12:F13"/>
    <mergeCell ref="A1:G1"/>
    <mergeCell ref="D4:E4"/>
    <mergeCell ref="D7:D10"/>
    <mergeCell ref="G12:G13"/>
  </mergeCells>
  <dataValidations count="2">
    <dataValidation type="list" allowBlank="1" showInputMessage="1" showErrorMessage="1" sqref="B14:B32" xr:uid="{DE1CD79D-929A-43B2-B47E-5C38BEFBC650}">
      <formula1>$B$33:$B$37</formula1>
    </dataValidation>
    <dataValidation type="list" allowBlank="1" showInputMessage="1" showErrorMessage="1" sqref="C14:C32" xr:uid="{197E9411-11E8-44DE-BDBB-07FC9D32B10F}">
      <formula1>"AMR,MMR,DM - MR1,DM - MR3,KM,PROD"</formula1>
    </dataValidation>
  </dataValidation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ublished="0" codeName="Blad3">
    <pageSetUpPr fitToPage="1"/>
  </sheetPr>
  <dimension ref="A1:AF94"/>
  <sheetViews>
    <sheetView showGridLines="0" zoomScaleNormal="100" workbookViewId="0">
      <selection activeCell="E4" sqref="E4:G4"/>
    </sheetView>
  </sheetViews>
  <sheetFormatPr defaultColWidth="10.7109375" defaultRowHeight="15" customHeight="1"/>
  <cols>
    <col min="1" max="3" width="10.7109375" style="46" customWidth="1"/>
    <col min="4" max="4" width="20.7109375" style="51" customWidth="1"/>
    <col min="5" max="5" width="10.7109375" style="46" customWidth="1"/>
    <col min="6" max="6" width="20.7109375" style="46" customWidth="1"/>
    <col min="7" max="7" width="10.7109375" style="46" customWidth="1"/>
    <col min="8" max="8" width="20.7109375" style="46" customWidth="1"/>
    <col min="9" max="9" width="10.7109375" style="46" customWidth="1"/>
    <col min="10" max="10" width="20.7109375" style="46" customWidth="1"/>
    <col min="11" max="11" width="10.7109375" style="46" customWidth="1"/>
    <col min="12" max="12" width="20.7109375" style="46" customWidth="1"/>
    <col min="13" max="16384" width="10.7109375" style="46"/>
  </cols>
  <sheetData>
    <row r="1" spans="1:32" s="39" customFormat="1" ht="30" customHeight="1" thickBot="1">
      <c r="A1" s="1425" t="str">
        <f>"TABEL 1: Budget per tariefcomponent voor gereguleerde activiteit 'elektriciteit'"</f>
        <v>TABEL 1: Budget per tariefcomponent voor gereguleerde activiteit 'elektriciteit'</v>
      </c>
      <c r="B1" s="1426"/>
      <c r="C1" s="1426"/>
      <c r="D1" s="1426"/>
      <c r="E1" s="1426"/>
      <c r="F1" s="1426"/>
      <c r="G1" s="1426"/>
      <c r="H1" s="1426"/>
      <c r="I1" s="1426"/>
      <c r="J1" s="1426"/>
      <c r="K1" s="1426"/>
      <c r="L1" s="1494"/>
    </row>
    <row r="2" spans="1:32" s="39" customFormat="1" ht="15" customHeight="1">
      <c r="A2" s="52"/>
      <c r="B2" s="52"/>
      <c r="C2" s="52"/>
      <c r="D2" s="52"/>
      <c r="E2" s="52"/>
      <c r="F2" s="52"/>
      <c r="G2" s="52"/>
      <c r="H2" s="52"/>
      <c r="I2" s="52"/>
      <c r="J2" s="52"/>
    </row>
    <row r="3" spans="1:32" s="41" customFormat="1" ht="15" customHeight="1" thickBot="1">
      <c r="A3" s="40"/>
      <c r="B3" s="40"/>
      <c r="C3" s="40"/>
      <c r="D3" s="40"/>
    </row>
    <row r="4" spans="1:32" s="3" customFormat="1" ht="20.25" customHeight="1" thickBot="1">
      <c r="B4" s="42" t="s">
        <v>6</v>
      </c>
      <c r="C4" s="43"/>
      <c r="E4" s="1434" t="str">
        <f>DNB</f>
        <v>Naam distributienetbeheerder</v>
      </c>
      <c r="F4" s="1435"/>
      <c r="G4" s="1436"/>
      <c r="H4" s="44"/>
      <c r="I4" s="44"/>
      <c r="J4" s="44"/>
      <c r="T4" s="44"/>
      <c r="U4" s="44"/>
      <c r="V4" s="44"/>
      <c r="W4" s="44"/>
      <c r="X4" s="44"/>
      <c r="Y4" s="44"/>
      <c r="Z4" s="44"/>
      <c r="AA4" s="44"/>
      <c r="AB4" s="44"/>
      <c r="AC4" s="44"/>
      <c r="AD4" s="44"/>
      <c r="AE4" s="44"/>
      <c r="AF4" s="45"/>
    </row>
    <row r="5" spans="1:32" ht="15" customHeight="1">
      <c r="A5" s="103"/>
      <c r="B5" s="103"/>
      <c r="C5" s="103"/>
      <c r="D5" s="103"/>
      <c r="E5" s="103"/>
      <c r="F5" s="103"/>
      <c r="G5" s="103"/>
      <c r="H5" s="103"/>
    </row>
    <row r="6" spans="1:32" ht="15" customHeight="1" thickBot="1">
      <c r="A6" s="103"/>
      <c r="B6" s="103"/>
      <c r="C6" s="103"/>
      <c r="D6" s="103"/>
      <c r="E6" s="103"/>
      <c r="F6" s="103"/>
      <c r="G6" s="103"/>
      <c r="H6" s="103"/>
      <c r="I6" s="103"/>
      <c r="J6" s="103"/>
    </row>
    <row r="7" spans="1:32" s="47" customFormat="1" ht="15" customHeight="1">
      <c r="A7" s="1549" t="s">
        <v>165</v>
      </c>
      <c r="B7" s="1550"/>
      <c r="C7" s="1551"/>
      <c r="D7" s="1560" t="s">
        <v>524</v>
      </c>
      <c r="E7" s="1561"/>
      <c r="F7" s="1561"/>
      <c r="G7" s="1562"/>
      <c r="H7" s="1560" t="s">
        <v>525</v>
      </c>
      <c r="I7" s="1561"/>
      <c r="J7" s="1561"/>
      <c r="K7" s="1562"/>
      <c r="L7" s="104" t="s">
        <v>24</v>
      </c>
      <c r="M7" s="103"/>
      <c r="N7" s="103"/>
    </row>
    <row r="8" spans="1:32" s="47" customFormat="1" ht="15" customHeight="1">
      <c r="A8" s="1552"/>
      <c r="B8" s="1553"/>
      <c r="C8" s="1554"/>
      <c r="D8" s="1558" t="s">
        <v>166</v>
      </c>
      <c r="E8" s="1559"/>
      <c r="F8" s="1558" t="s">
        <v>167</v>
      </c>
      <c r="G8" s="1559"/>
      <c r="H8" s="1558" t="s">
        <v>166</v>
      </c>
      <c r="I8" s="1559"/>
      <c r="J8" s="1558" t="s">
        <v>167</v>
      </c>
      <c r="K8" s="1559"/>
      <c r="L8" s="567"/>
      <c r="M8" s="103"/>
      <c r="N8" s="103"/>
    </row>
    <row r="9" spans="1:32" s="48" customFormat="1" ht="15" customHeight="1" thickBot="1">
      <c r="A9" s="1555"/>
      <c r="B9" s="1556"/>
      <c r="C9" s="1557"/>
      <c r="D9" s="105" t="s">
        <v>26</v>
      </c>
      <c r="E9" s="106" t="s">
        <v>20</v>
      </c>
      <c r="F9" s="105"/>
      <c r="G9" s="106"/>
      <c r="H9" s="105"/>
      <c r="I9" s="106"/>
      <c r="J9" s="105" t="s">
        <v>26</v>
      </c>
      <c r="K9" s="106" t="s">
        <v>20</v>
      </c>
      <c r="L9" s="107" t="s">
        <v>26</v>
      </c>
      <c r="M9" s="103"/>
      <c r="N9" s="103"/>
    </row>
    <row r="10" spans="1:32" s="2" customFormat="1" ht="20.25" customHeight="1">
      <c r="A10" s="108" t="s">
        <v>83</v>
      </c>
      <c r="B10" s="109"/>
      <c r="C10" s="109"/>
      <c r="D10" s="110">
        <f>SUMIFS(Tabel2[Afnameklanten (∑)],Tabel2[Tariefcomponent],$A10,Tabel2[Kostenindeling 1],"Exogeen")</f>
        <v>0</v>
      </c>
      <c r="E10" s="111" t="str">
        <f>IF(ISNUMBER($D10/($D10+$F10)),ROUND($D10/($D10+$F10),2),"")</f>
        <v/>
      </c>
      <c r="F10" s="110" t="e">
        <f>SUMIFS(Tabel2[Afnameklanten (∑)],Tabel2[Tariefcomponent],$A10,Tabel2[Kostenindeling 1],"Endogeen")</f>
        <v>#VALUE!</v>
      </c>
      <c r="G10" s="111" t="str">
        <f>IF(ISNUMBER($F10/($D10+$F10)),ROUND($F10/($D10+$F10),2),"")</f>
        <v/>
      </c>
      <c r="H10" s="110">
        <f>SUMIFS(Tabel2[Injectieklanten (∑)],Tabel2[Tariefcomponent],$A10,Tabel2[Kostenindeling 1],"Exogeen")</f>
        <v>0</v>
      </c>
      <c r="I10" s="111" t="str">
        <f>IF(ISNUMBER($H10/($H10+$J10)),ROUND($H10/($H10+$J10),2),"")</f>
        <v/>
      </c>
      <c r="J10" s="110" t="e">
        <f>SUMIFS(Tabel2[Injectieklanten (∑)],Tabel2[Tariefcomponent],$A10,Tabel2[Kostenindeling 1],"Endogeen")</f>
        <v>#VALUE!</v>
      </c>
      <c r="K10" s="111" t="str">
        <f>IF(ISNUMBER($J10/($H10+$J10)),ROUND($J10/($H10+$J10),2),"")</f>
        <v/>
      </c>
      <c r="L10" s="112">
        <f>SUMIFS(Tabel2[Totale budget],Tabel2[Tariefcomponent],$A10)</f>
        <v>0</v>
      </c>
      <c r="M10" s="103"/>
      <c r="N10" s="103"/>
    </row>
    <row r="11" spans="1:32" s="2" customFormat="1" ht="20.25" customHeight="1">
      <c r="A11" s="113" t="s">
        <v>13</v>
      </c>
      <c r="B11" s="114"/>
      <c r="C11" s="114"/>
      <c r="D11" s="115">
        <f>SUMIFS(Tabel2[Afnameklanten (∑)],Tabel2[Tariefcomponent],$A11,Tabel2[Kostenindeling 1],"Exogeen")</f>
        <v>0</v>
      </c>
      <c r="E11" s="116" t="str">
        <f t="shared" ref="E11:E16" si="0">IF(ISNUMBER($D11/($D11+$F11)),ROUND($D11/($D11+$F11),2),"")</f>
        <v/>
      </c>
      <c r="F11" s="115">
        <f>SUMIFS(Tabel2[Afnameklanten (∑)],Tabel2[Tariefcomponent],$A11,Tabel2[Kostenindeling 1],"Endogeen")</f>
        <v>0</v>
      </c>
      <c r="G11" s="116" t="str">
        <f t="shared" ref="G11:G16" si="1">IF(ISNUMBER($F11/($D11+$F11)),ROUND($F11/($D11+$F11),2),"")</f>
        <v/>
      </c>
      <c r="H11" s="115">
        <f>SUMIFS(Tabel2[Injectieklanten (∑)],Tabel2[Tariefcomponent],$A11,Tabel2[Kostenindeling 1],"Exogeen")</f>
        <v>0</v>
      </c>
      <c r="I11" s="116" t="str">
        <f t="shared" ref="I11:I16" si="2">IF(ISNUMBER($H11/($H11+$J11)),ROUND($H11/($H11+$J11),2),"")</f>
        <v/>
      </c>
      <c r="J11" s="115">
        <f>SUMIFS(Tabel2[Injectieklanten (∑)],Tabel2[Tariefcomponent],$A11,Tabel2[Kostenindeling 1],"Endogeen")</f>
        <v>0</v>
      </c>
      <c r="K11" s="116" t="str">
        <f t="shared" ref="K11:K16" si="3">IF(ISNUMBER($J11/($H11+$J11)),ROUND($J11/($H11+$J11),2),"")</f>
        <v/>
      </c>
      <c r="L11" s="117">
        <f>SUMIFS(Tabel2[Totale budget],Tabel2[Tariefcomponent],$A11)</f>
        <v>0</v>
      </c>
      <c r="N11" s="103"/>
    </row>
    <row r="12" spans="1:32" s="2" customFormat="1" ht="20.25" customHeight="1">
      <c r="A12" s="113" t="s">
        <v>84</v>
      </c>
      <c r="B12" s="114"/>
      <c r="C12" s="114"/>
      <c r="D12" s="115">
        <f>SUMIFS(Tabel2[Afnameklanten (∑)],Tabel2[Tariefcomponent],$A12,Tabel2[Kostenindeling 1],"Exogeen")</f>
        <v>0</v>
      </c>
      <c r="E12" s="116" t="str">
        <f t="shared" si="0"/>
        <v/>
      </c>
      <c r="F12" s="115" t="e">
        <f>SUMIFS(Tabel2[Afnameklanten (∑)],Tabel2[Tariefcomponent],$A12,Tabel2[Kostenindeling 1],"Endogeen")</f>
        <v>#VALUE!</v>
      </c>
      <c r="G12" s="116" t="str">
        <f t="shared" si="1"/>
        <v/>
      </c>
      <c r="H12" s="115">
        <f>SUMIFS(Tabel2[Injectieklanten (∑)],Tabel2[Tariefcomponent],$A12,Tabel2[Kostenindeling 1],"Exogeen")</f>
        <v>0</v>
      </c>
      <c r="I12" s="116" t="str">
        <f t="shared" si="2"/>
        <v/>
      </c>
      <c r="J12" s="115" t="e">
        <f>SUMIFS(Tabel2[Injectieklanten (∑)],Tabel2[Tariefcomponent],$A12,Tabel2[Kostenindeling 1],"Endogeen")</f>
        <v>#VALUE!</v>
      </c>
      <c r="K12" s="116" t="str">
        <f t="shared" si="3"/>
        <v/>
      </c>
      <c r="L12" s="117">
        <f>SUMIFS(Tabel2[Totale budget],Tabel2[Tariefcomponent],$A12)</f>
        <v>0</v>
      </c>
      <c r="M12" s="103"/>
      <c r="N12" s="103"/>
    </row>
    <row r="13" spans="1:32" s="2" customFormat="1" ht="20.25" customHeight="1">
      <c r="A13" s="113" t="s">
        <v>85</v>
      </c>
      <c r="B13" s="114"/>
      <c r="C13" s="114"/>
      <c r="D13" s="115">
        <f>SUMIFS(Tabel2[Afnameklanten (∑)],Tabel2[Tariefcomponent],$A13,Tabel2[Kostenindeling 1],"Exogeen")</f>
        <v>0</v>
      </c>
      <c r="E13" s="116" t="str">
        <f t="shared" si="0"/>
        <v/>
      </c>
      <c r="F13" s="115">
        <f>SUMIFS(Tabel2[Afnameklanten (∑)],Tabel2[Tariefcomponent],$A13,Tabel2[Kostenindeling 1],"Endogeen")</f>
        <v>0</v>
      </c>
      <c r="G13" s="116" t="str">
        <f t="shared" si="1"/>
        <v/>
      </c>
      <c r="H13" s="115">
        <f>SUMIFS(Tabel2[Injectieklanten (∑)],Tabel2[Tariefcomponent],$A13,Tabel2[Kostenindeling 1],"Exogeen")</f>
        <v>0</v>
      </c>
      <c r="I13" s="116" t="str">
        <f t="shared" si="2"/>
        <v/>
      </c>
      <c r="J13" s="115">
        <f>SUMIFS(Tabel2[Injectieklanten (∑)],Tabel2[Tariefcomponent],$A13,Tabel2[Kostenindeling 1],"Endogeen")</f>
        <v>0</v>
      </c>
      <c r="K13" s="116" t="str">
        <f t="shared" si="3"/>
        <v/>
      </c>
      <c r="L13" s="117">
        <f>SUMIFS(Tabel2[Totale budget],Tabel2[Tariefcomponent],$A13)</f>
        <v>0</v>
      </c>
      <c r="M13" s="103"/>
      <c r="N13" s="103"/>
    </row>
    <row r="14" spans="1:32" s="2" customFormat="1" ht="20.25" customHeight="1">
      <c r="A14" s="113" t="s">
        <v>9</v>
      </c>
      <c r="B14" s="114"/>
      <c r="C14" s="114"/>
      <c r="D14" s="115">
        <f>SUMIFS(Tabel2[Afnameklanten (∑)],Tabel2[Tariefcomponent],$A14,Tabel2[Kostenindeling 1],"Exogeen")</f>
        <v>0</v>
      </c>
      <c r="E14" s="116" t="str">
        <f t="shared" si="0"/>
        <v/>
      </c>
      <c r="F14" s="115">
        <f>SUMIFS(Tabel2[Afnameklanten (∑)],Tabel2[Tariefcomponent],$A14,Tabel2[Kostenindeling 1],"Endogeen")</f>
        <v>0</v>
      </c>
      <c r="G14" s="116" t="str">
        <f t="shared" si="1"/>
        <v/>
      </c>
      <c r="H14" s="115">
        <f>SUMIFS(Tabel2[Injectieklanten (∑)],Tabel2[Tariefcomponent],$A14,Tabel2[Kostenindeling 1],"Exogeen")</f>
        <v>0</v>
      </c>
      <c r="I14" s="116" t="str">
        <f t="shared" si="2"/>
        <v/>
      </c>
      <c r="J14" s="115">
        <f>SUMIFS(Tabel2[Injectieklanten (∑)],Tabel2[Tariefcomponent],$A14,Tabel2[Kostenindeling 1],"Endogeen")</f>
        <v>0</v>
      </c>
      <c r="K14" s="116" t="str">
        <f t="shared" si="3"/>
        <v/>
      </c>
      <c r="L14" s="117">
        <f>SUMIFS(Tabel2[Totale budget],Tabel2[Tariefcomponent],$A14)</f>
        <v>0</v>
      </c>
      <c r="M14" s="103"/>
      <c r="N14" s="103"/>
    </row>
    <row r="15" spans="1:32" s="2" customFormat="1" ht="20.25" customHeight="1" thickBot="1">
      <c r="A15" s="118" t="s">
        <v>86</v>
      </c>
      <c r="B15" s="119"/>
      <c r="C15" s="119"/>
      <c r="D15" s="120">
        <f>SUMIFS(Tabel2[Afnameklanten (∑)],Tabel2[Tariefcomponent],$A15,Tabel2[Kostenindeling 1],"Exogeen")</f>
        <v>0</v>
      </c>
      <c r="E15" s="121" t="str">
        <f t="shared" si="0"/>
        <v/>
      </c>
      <c r="F15" s="120">
        <f>SUMIFS(Tabel2[Afnameklanten (∑)],Tabel2[Tariefcomponent],$A15,Tabel2[Kostenindeling 1],"Endogeen")</f>
        <v>0</v>
      </c>
      <c r="G15" s="121" t="str">
        <f t="shared" si="1"/>
        <v/>
      </c>
      <c r="H15" s="120">
        <f>SUMIFS(Tabel2[Injectieklanten (∑)],Tabel2[Tariefcomponent],$A15,Tabel2[Kostenindeling 1],"Exogeen")</f>
        <v>0</v>
      </c>
      <c r="I15" s="121" t="str">
        <f t="shared" si="2"/>
        <v/>
      </c>
      <c r="J15" s="120">
        <f>SUMIFS(Tabel2[Injectieklanten (∑)],Tabel2[Tariefcomponent],$A15,Tabel2[Kostenindeling 1],"Endogeen")</f>
        <v>0</v>
      </c>
      <c r="K15" s="121" t="str">
        <f t="shared" si="3"/>
        <v/>
      </c>
      <c r="L15" s="122">
        <f>SUMIFS(Tabel2[Totale budget],Tabel2[Tariefcomponent],$A15)</f>
        <v>0</v>
      </c>
      <c r="M15" s="103"/>
      <c r="N15" s="103"/>
    </row>
    <row r="16" spans="1:32" s="2" customFormat="1" ht="20.25" customHeight="1" thickBot="1">
      <c r="A16" s="123" t="s">
        <v>11</v>
      </c>
      <c r="B16" s="124"/>
      <c r="C16" s="124"/>
      <c r="D16" s="125">
        <f>SUM(D$10:D$15)</f>
        <v>0</v>
      </c>
      <c r="E16" s="126" t="str">
        <f t="shared" si="0"/>
        <v/>
      </c>
      <c r="F16" s="125" t="e">
        <f>SUM(F$10:F$15)</f>
        <v>#VALUE!</v>
      </c>
      <c r="G16" s="126" t="str">
        <f t="shared" si="1"/>
        <v/>
      </c>
      <c r="H16" s="125">
        <f>SUM(H$10:H$15)</f>
        <v>0</v>
      </c>
      <c r="I16" s="126" t="str">
        <f t="shared" si="2"/>
        <v/>
      </c>
      <c r="J16" s="125" t="e">
        <f>SUM(J$10:J$15)</f>
        <v>#VALUE!</v>
      </c>
      <c r="K16" s="126" t="str">
        <f t="shared" si="3"/>
        <v/>
      </c>
      <c r="L16" s="127">
        <f>SUM(L$10:L$15)</f>
        <v>0</v>
      </c>
      <c r="M16" s="103"/>
      <c r="N16" s="103"/>
    </row>
    <row r="17" spans="1:10" s="2" customFormat="1" ht="15" customHeight="1">
      <c r="A17" s="103"/>
      <c r="B17" s="103"/>
      <c r="C17" s="103"/>
      <c r="D17" s="103"/>
      <c r="E17" s="103"/>
      <c r="F17" s="103"/>
      <c r="G17" s="103"/>
      <c r="H17" s="103"/>
      <c r="I17" s="103"/>
      <c r="J17" s="103"/>
    </row>
    <row r="18" spans="1:10" s="2" customFormat="1" ht="15" customHeight="1">
      <c r="A18" s="103"/>
      <c r="B18" s="103"/>
      <c r="C18" s="103"/>
      <c r="D18" s="103"/>
      <c r="E18" s="103"/>
      <c r="F18" s="103"/>
      <c r="G18" s="103"/>
      <c r="H18" s="309"/>
      <c r="I18" s="103"/>
      <c r="J18" s="103"/>
    </row>
    <row r="19" spans="1:10" s="2" customFormat="1" ht="15" customHeight="1">
      <c r="A19" s="7"/>
      <c r="B19" s="7"/>
      <c r="C19" s="7"/>
      <c r="D19" s="7"/>
      <c r="E19" s="7"/>
      <c r="F19" s="7"/>
      <c r="G19" s="7"/>
      <c r="H19" s="7"/>
      <c r="I19" s="7"/>
      <c r="J19" s="7"/>
    </row>
    <row r="20" spans="1:10" s="5" customFormat="1" ht="15" customHeight="1">
      <c r="A20" s="7"/>
      <c r="B20" s="7"/>
      <c r="C20" s="7"/>
      <c r="D20" s="7"/>
      <c r="E20" s="7"/>
      <c r="F20" s="7"/>
      <c r="G20" s="7"/>
      <c r="H20" s="7"/>
      <c r="I20" s="7"/>
      <c r="J20" s="7"/>
    </row>
    <row r="21" spans="1:10" s="2" customFormat="1" ht="15" customHeight="1">
      <c r="A21" s="7"/>
      <c r="B21" s="7"/>
      <c r="C21" s="7"/>
      <c r="D21" s="7"/>
      <c r="E21" s="7"/>
      <c r="F21" s="7"/>
      <c r="G21" s="7"/>
      <c r="H21" s="7"/>
      <c r="J21" s="7"/>
    </row>
    <row r="22" spans="1:10" s="2" customFormat="1" ht="15" customHeight="1">
      <c r="A22" s="7"/>
      <c r="B22" s="7"/>
      <c r="C22" s="7"/>
      <c r="D22" s="7"/>
      <c r="E22" s="7"/>
      <c r="F22" s="7"/>
      <c r="G22" s="7"/>
      <c r="H22" s="7"/>
      <c r="I22" s="7"/>
      <c r="J22" s="7"/>
    </row>
    <row r="23" spans="1:10" s="2" customFormat="1" ht="15" customHeight="1">
      <c r="A23" s="7"/>
      <c r="B23" s="7"/>
      <c r="C23" s="7"/>
      <c r="D23" s="7"/>
      <c r="E23" s="7"/>
      <c r="F23" s="7"/>
      <c r="G23" s="7"/>
      <c r="H23" s="7"/>
      <c r="I23" s="7"/>
      <c r="J23" s="7"/>
    </row>
    <row r="24" spans="1:10" s="2" customFormat="1" ht="15" customHeight="1">
      <c r="A24" s="7"/>
      <c r="B24" s="7"/>
      <c r="C24" s="7"/>
      <c r="D24" s="7"/>
      <c r="E24" s="7"/>
      <c r="F24" s="7"/>
      <c r="G24" s="7"/>
      <c r="H24" s="7"/>
      <c r="I24" s="7"/>
      <c r="J24" s="7"/>
    </row>
    <row r="25" spans="1:10" s="2" customFormat="1" ht="15" customHeight="1">
      <c r="A25" s="7"/>
      <c r="B25" s="7"/>
      <c r="C25" s="7"/>
      <c r="D25" s="7"/>
      <c r="E25" s="7"/>
      <c r="F25" s="7"/>
      <c r="G25" s="7"/>
      <c r="H25" s="7"/>
      <c r="I25" s="7"/>
      <c r="J25" s="7"/>
    </row>
    <row r="26" spans="1:10" s="2" customFormat="1" ht="15" customHeight="1">
      <c r="A26" s="7"/>
      <c r="B26" s="7"/>
      <c r="C26" s="7"/>
      <c r="D26" s="7"/>
      <c r="E26" s="7"/>
      <c r="F26" s="7"/>
      <c r="G26" s="7"/>
      <c r="H26" s="7"/>
      <c r="I26" s="7"/>
      <c r="J26" s="7"/>
    </row>
    <row r="27" spans="1:10" s="2" customFormat="1" ht="15" customHeight="1">
      <c r="A27" s="7"/>
      <c r="B27" s="7"/>
      <c r="C27" s="7"/>
      <c r="D27" s="7"/>
      <c r="E27" s="7"/>
      <c r="F27" s="7"/>
      <c r="G27" s="7"/>
      <c r="H27" s="7"/>
      <c r="I27" s="7"/>
      <c r="J27" s="7"/>
    </row>
    <row r="28" spans="1:10" s="2" customFormat="1" ht="15" customHeight="1">
      <c r="A28" s="7"/>
      <c r="B28" s="7"/>
      <c r="C28" s="7"/>
      <c r="D28" s="7"/>
      <c r="E28" s="7"/>
      <c r="F28" s="7"/>
      <c r="G28" s="7"/>
      <c r="H28" s="7"/>
      <c r="I28" s="7"/>
      <c r="J28" s="7"/>
    </row>
    <row r="29" spans="1:10" s="2" customFormat="1" ht="15" customHeight="1">
      <c r="A29" s="7"/>
      <c r="B29" s="7"/>
      <c r="C29" s="7"/>
    </row>
    <row r="30" spans="1:10" s="2" customFormat="1" ht="15" customHeight="1">
      <c r="A30"/>
      <c r="B30"/>
      <c r="C30"/>
      <c r="D30"/>
      <c r="E30"/>
      <c r="F30"/>
      <c r="G30"/>
      <c r="H30" s="44"/>
      <c r="I30" s="44"/>
    </row>
    <row r="31" spans="1:10" s="5" customFormat="1" ht="15" customHeight="1">
      <c r="A31"/>
      <c r="B31"/>
      <c r="C31"/>
      <c r="D31"/>
      <c r="E31"/>
      <c r="F31"/>
      <c r="G31"/>
      <c r="H31" s="46"/>
      <c r="I31" s="46"/>
    </row>
    <row r="32" spans="1:10" s="2" customFormat="1" ht="15" customHeight="1">
      <c r="A32"/>
      <c r="B32"/>
      <c r="C32"/>
      <c r="D32"/>
      <c r="E32"/>
      <c r="F32"/>
      <c r="G32"/>
      <c r="H32" s="46"/>
      <c r="I32" s="46"/>
    </row>
    <row r="33" spans="1:9" s="2" customFormat="1" ht="15" customHeight="1">
      <c r="A33"/>
      <c r="B33"/>
      <c r="C33"/>
      <c r="D33"/>
      <c r="E33"/>
      <c r="F33"/>
      <c r="G33"/>
      <c r="H33" s="47"/>
      <c r="I33" s="47"/>
    </row>
    <row r="34" spans="1:9" s="2" customFormat="1" ht="15" customHeight="1">
      <c r="A34"/>
      <c r="B34"/>
      <c r="C34"/>
      <c r="D34"/>
      <c r="E34"/>
      <c r="F34"/>
      <c r="G34"/>
      <c r="H34" s="48"/>
      <c r="I34" s="48"/>
    </row>
    <row r="35" spans="1:9" s="2" customFormat="1" ht="15" customHeight="1">
      <c r="A35"/>
      <c r="B35"/>
      <c r="C35"/>
      <c r="D35"/>
      <c r="E35"/>
      <c r="F35"/>
      <c r="G35"/>
    </row>
    <row r="36" spans="1:9" s="2" customFormat="1" ht="15" customHeight="1">
      <c r="A36"/>
      <c r="B36"/>
      <c r="C36"/>
      <c r="D36"/>
      <c r="E36"/>
      <c r="F36"/>
      <c r="G36"/>
    </row>
    <row r="37" spans="1:9" s="2" customFormat="1" ht="15" customHeight="1">
      <c r="A37"/>
      <c r="B37"/>
      <c r="C37"/>
      <c r="D37"/>
      <c r="E37"/>
      <c r="F37"/>
      <c r="G37"/>
    </row>
    <row r="38" spans="1:9" s="2" customFormat="1" ht="15" customHeight="1">
      <c r="A38"/>
      <c r="B38"/>
      <c r="C38"/>
      <c r="D38"/>
      <c r="E38"/>
      <c r="F38"/>
      <c r="G38"/>
    </row>
    <row r="39" spans="1:9" s="2" customFormat="1" ht="15" customHeight="1">
      <c r="A39"/>
      <c r="B39"/>
      <c r="C39"/>
      <c r="D39"/>
      <c r="E39"/>
      <c r="F39"/>
      <c r="G39"/>
    </row>
    <row r="40" spans="1:9" s="2" customFormat="1" ht="15" customHeight="1">
      <c r="A40"/>
      <c r="B40"/>
      <c r="C40"/>
      <c r="D40"/>
      <c r="E40"/>
      <c r="F40"/>
      <c r="G40"/>
    </row>
    <row r="41" spans="1:9" s="2" customFormat="1" ht="15" customHeight="1">
      <c r="A41"/>
      <c r="B41"/>
      <c r="C41"/>
      <c r="D41"/>
      <c r="E41"/>
      <c r="F41"/>
      <c r="G41"/>
    </row>
    <row r="42" spans="1:9" s="2" customFormat="1" ht="15" customHeight="1">
      <c r="A42"/>
      <c r="B42"/>
      <c r="C42"/>
      <c r="D42"/>
      <c r="E42"/>
      <c r="F42"/>
      <c r="G42"/>
    </row>
    <row r="43" spans="1:9" s="2" customFormat="1" ht="15" customHeight="1">
      <c r="A43"/>
      <c r="B43"/>
      <c r="C43"/>
      <c r="D43"/>
      <c r="E43"/>
      <c r="F43"/>
      <c r="G43"/>
    </row>
    <row r="44" spans="1:9" s="49" customFormat="1" ht="15" customHeight="1">
      <c r="A44"/>
      <c r="B44"/>
      <c r="C44"/>
      <c r="D44"/>
      <c r="E44"/>
      <c r="F44"/>
      <c r="G44"/>
      <c r="H44" s="2"/>
      <c r="I44" s="2"/>
    </row>
    <row r="45" spans="1:9" s="49" customFormat="1" ht="15" customHeight="1">
      <c r="A45"/>
      <c r="B45"/>
      <c r="C45"/>
      <c r="D45"/>
      <c r="E45"/>
      <c r="F45"/>
      <c r="G45"/>
      <c r="H45" s="5"/>
      <c r="I45" s="5"/>
    </row>
    <row r="46" spans="1:9" s="2" customFormat="1" ht="15" customHeight="1">
      <c r="A46"/>
      <c r="B46"/>
      <c r="C46"/>
      <c r="D46"/>
      <c r="E46"/>
      <c r="F46"/>
      <c r="G46"/>
    </row>
    <row r="47" spans="1:9" s="2" customFormat="1" ht="15" customHeight="1"/>
    <row r="48" spans="1:9" s="2" customFormat="1" ht="15" customHeight="1">
      <c r="B48" s="5"/>
      <c r="C48" s="5"/>
      <c r="D48" s="5"/>
    </row>
    <row r="49" spans="1:10" s="2" customFormat="1" ht="15" customHeight="1"/>
    <row r="50" spans="1:10" s="2" customFormat="1" ht="15" customHeight="1"/>
    <row r="51" spans="1:10" s="2" customFormat="1" ht="15" customHeight="1">
      <c r="J51" s="7"/>
    </row>
    <row r="52" spans="1:10" s="2" customFormat="1" ht="15" customHeight="1">
      <c r="A52" s="7"/>
      <c r="B52" s="7"/>
      <c r="C52" s="7"/>
      <c r="D52" s="7"/>
      <c r="E52" s="7"/>
      <c r="F52" s="7"/>
      <c r="G52" s="7"/>
      <c r="H52" s="7"/>
      <c r="I52" s="7"/>
      <c r="J52" s="7"/>
    </row>
    <row r="53" spans="1:10" s="2" customFormat="1" ht="15" customHeight="1">
      <c r="A53" s="7"/>
      <c r="B53" s="7"/>
      <c r="C53" s="7"/>
      <c r="D53" s="7"/>
      <c r="E53" s="7"/>
      <c r="F53" s="7"/>
      <c r="G53" s="7"/>
      <c r="H53" s="7"/>
      <c r="I53" s="7"/>
      <c r="J53" s="7"/>
    </row>
    <row r="54" spans="1:10" s="2" customFormat="1" ht="15" customHeight="1">
      <c r="A54" s="7"/>
      <c r="B54" s="7"/>
      <c r="C54" s="7"/>
      <c r="D54" s="7"/>
      <c r="E54" s="7"/>
      <c r="F54" s="7"/>
      <c r="G54" s="7"/>
      <c r="H54" s="7"/>
      <c r="I54" s="7"/>
      <c r="J54" s="7"/>
    </row>
    <row r="55" spans="1:10" s="2" customFormat="1" ht="15" customHeight="1">
      <c r="A55" s="7"/>
      <c r="B55" s="7"/>
      <c r="C55" s="7"/>
      <c r="D55" s="7"/>
      <c r="E55" s="7"/>
      <c r="F55" s="7"/>
      <c r="G55" s="7"/>
      <c r="H55" s="7"/>
      <c r="I55" s="7"/>
      <c r="J55" s="7"/>
    </row>
    <row r="56" spans="1:10" s="2" customFormat="1" ht="15" customHeight="1">
      <c r="A56" s="7"/>
      <c r="B56" s="7"/>
      <c r="C56" s="7"/>
      <c r="D56" s="7"/>
      <c r="E56" s="7"/>
      <c r="F56" s="7"/>
      <c r="G56" s="7"/>
      <c r="H56" s="7"/>
      <c r="I56" s="7"/>
      <c r="J56" s="7"/>
    </row>
    <row r="57" spans="1:10" s="2" customFormat="1" ht="15" customHeight="1">
      <c r="A57" s="7"/>
      <c r="B57" s="7"/>
      <c r="C57" s="7"/>
      <c r="D57" s="7"/>
      <c r="E57" s="7"/>
      <c r="F57" s="7"/>
      <c r="G57" s="7"/>
      <c r="H57" s="7"/>
      <c r="I57" s="7"/>
      <c r="J57" s="7"/>
    </row>
    <row r="58" spans="1:10" s="2" customFormat="1" ht="15" customHeight="1">
      <c r="A58" s="7"/>
      <c r="B58" s="7"/>
      <c r="C58" s="7"/>
      <c r="D58" s="7"/>
      <c r="E58" s="7"/>
      <c r="F58" s="7"/>
      <c r="G58" s="7"/>
      <c r="H58" s="7"/>
      <c r="I58" s="7"/>
      <c r="J58" s="7"/>
    </row>
    <row r="59" spans="1:10" s="2" customFormat="1" ht="15" customHeight="1">
      <c r="A59" s="7"/>
      <c r="B59" s="7"/>
      <c r="C59" s="7"/>
      <c r="D59" s="7"/>
      <c r="E59" s="7"/>
      <c r="F59" s="7"/>
      <c r="G59" s="7"/>
      <c r="H59" s="7"/>
      <c r="I59" s="7"/>
      <c r="J59" s="7"/>
    </row>
    <row r="60" spans="1:10" s="2" customFormat="1" ht="15" customHeight="1">
      <c r="A60" s="7"/>
      <c r="B60" s="7"/>
      <c r="C60" s="7"/>
      <c r="D60" s="7"/>
      <c r="E60" s="7"/>
      <c r="F60" s="7"/>
      <c r="G60" s="7"/>
      <c r="H60" s="7"/>
      <c r="I60" s="7"/>
      <c r="J60" s="7"/>
    </row>
    <row r="61" spans="1:10" s="2" customFormat="1" ht="15" customHeight="1">
      <c r="A61" s="7"/>
      <c r="B61" s="7"/>
      <c r="C61" s="7"/>
      <c r="D61" s="7"/>
      <c r="E61" s="7"/>
      <c r="F61" s="7"/>
      <c r="G61" s="7"/>
      <c r="H61" s="7"/>
      <c r="I61" s="7"/>
      <c r="J61" s="7"/>
    </row>
    <row r="62" spans="1:10" s="2" customFormat="1" ht="15" customHeight="1">
      <c r="A62" s="7"/>
      <c r="B62" s="7"/>
      <c r="C62" s="7"/>
      <c r="D62" s="7"/>
      <c r="E62" s="7"/>
      <c r="F62" s="7"/>
      <c r="G62" s="7"/>
      <c r="H62" s="7"/>
      <c r="I62" s="7"/>
      <c r="J62" s="7"/>
    </row>
    <row r="63" spans="1:10" s="2" customFormat="1" ht="15" customHeight="1">
      <c r="A63" s="7"/>
      <c r="B63" s="7"/>
      <c r="C63" s="7"/>
      <c r="D63" s="7"/>
      <c r="E63" s="7"/>
      <c r="F63" s="7"/>
      <c r="G63" s="7"/>
      <c r="H63" s="7"/>
      <c r="I63" s="7"/>
      <c r="J63" s="7"/>
    </row>
    <row r="64" spans="1:10" s="2" customFormat="1" ht="15" customHeight="1">
      <c r="A64" s="7"/>
      <c r="B64" s="7"/>
      <c r="C64" s="7"/>
      <c r="D64" s="7"/>
      <c r="E64" s="7"/>
      <c r="F64" s="7"/>
      <c r="G64" s="7"/>
      <c r="H64" s="7"/>
      <c r="I64" s="7"/>
      <c r="J64" s="7"/>
    </row>
    <row r="65" spans="1:16" s="2" customFormat="1" ht="15" customHeight="1">
      <c r="A65" s="7"/>
      <c r="B65" s="7"/>
      <c r="C65" s="7"/>
      <c r="D65" s="7"/>
      <c r="E65" s="7"/>
      <c r="F65" s="7"/>
      <c r="G65" s="7"/>
      <c r="H65" s="7"/>
      <c r="I65" s="7"/>
      <c r="J65" s="7"/>
    </row>
    <row r="66" spans="1:16" s="2" customFormat="1" ht="15" customHeight="1">
      <c r="A66" s="7"/>
      <c r="B66" s="7"/>
      <c r="C66" s="7"/>
      <c r="D66" s="7"/>
      <c r="E66" s="7"/>
      <c r="F66" s="7"/>
      <c r="G66" s="7"/>
      <c r="H66" s="7"/>
      <c r="I66" s="7"/>
      <c r="J66" s="7"/>
    </row>
    <row r="67" spans="1:16" s="2" customFormat="1" ht="15" customHeight="1">
      <c r="A67" s="7"/>
      <c r="B67" s="7"/>
      <c r="C67" s="7"/>
      <c r="D67" s="7"/>
      <c r="E67" s="7"/>
      <c r="F67" s="7"/>
      <c r="G67" s="7"/>
      <c r="H67" s="7"/>
      <c r="I67" s="7"/>
      <c r="J67" s="7"/>
    </row>
    <row r="68" spans="1:16" s="2" customFormat="1" ht="15" customHeight="1">
      <c r="A68" s="7"/>
      <c r="B68" s="7"/>
      <c r="C68" s="7"/>
      <c r="D68" s="7"/>
      <c r="E68" s="7"/>
      <c r="F68" s="7"/>
      <c r="G68" s="7"/>
      <c r="H68" s="7"/>
      <c r="I68" s="7"/>
      <c r="J68" s="7"/>
    </row>
    <row r="69" spans="1:16" s="2" customFormat="1" ht="15" customHeight="1">
      <c r="A69" s="7"/>
      <c r="B69" s="7"/>
      <c r="C69" s="7"/>
      <c r="D69" s="7"/>
      <c r="E69" s="7"/>
      <c r="F69" s="7"/>
      <c r="G69" s="7"/>
      <c r="H69" s="7"/>
      <c r="I69" s="7"/>
      <c r="J69" s="7"/>
    </row>
    <row r="70" spans="1:16" s="2" customFormat="1" ht="15" customHeight="1">
      <c r="A70" s="7"/>
      <c r="B70" s="7"/>
      <c r="C70" s="7"/>
      <c r="D70" s="7"/>
      <c r="E70" s="7"/>
      <c r="F70" s="7"/>
      <c r="G70" s="7"/>
      <c r="H70" s="7"/>
      <c r="I70" s="7"/>
      <c r="J70" s="7"/>
    </row>
    <row r="71" spans="1:16" s="2" customFormat="1" ht="15" customHeight="1">
      <c r="A71" s="7"/>
      <c r="B71" s="7"/>
      <c r="C71" s="7"/>
      <c r="D71" s="7"/>
      <c r="E71" s="7"/>
      <c r="F71" s="7"/>
      <c r="G71" s="7"/>
      <c r="H71" s="7"/>
      <c r="I71" s="7"/>
      <c r="J71" s="7"/>
    </row>
    <row r="72" spans="1:16" s="2" customFormat="1" ht="15" customHeight="1">
      <c r="A72" s="7"/>
      <c r="B72" s="7"/>
      <c r="C72" s="7"/>
      <c r="D72" s="7"/>
      <c r="E72" s="7"/>
      <c r="F72" s="7"/>
      <c r="G72" s="7"/>
      <c r="H72" s="7"/>
      <c r="I72" s="7"/>
      <c r="J72" s="7"/>
      <c r="L72" s="5"/>
      <c r="M72" s="5"/>
      <c r="N72" s="5"/>
    </row>
    <row r="73" spans="1:16" s="2" customFormat="1" ht="15" customHeight="1">
      <c r="A73" s="7"/>
      <c r="B73" s="7"/>
      <c r="C73" s="7"/>
      <c r="D73" s="7"/>
      <c r="E73" s="7"/>
      <c r="F73" s="7"/>
      <c r="G73" s="7"/>
      <c r="H73" s="7"/>
      <c r="I73" s="7"/>
      <c r="J73" s="7"/>
      <c r="L73" s="5"/>
      <c r="M73" s="5"/>
      <c r="N73" s="5"/>
    </row>
    <row r="74" spans="1:16" s="2" customFormat="1" ht="15" customHeight="1">
      <c r="A74" s="7"/>
      <c r="B74" s="7"/>
      <c r="C74" s="7"/>
      <c r="D74" s="7"/>
      <c r="E74" s="7"/>
      <c r="F74" s="7"/>
      <c r="G74" s="7"/>
      <c r="H74" s="7"/>
      <c r="I74" s="7"/>
      <c r="J74" s="7"/>
      <c r="L74" s="5"/>
      <c r="M74" s="5"/>
      <c r="N74" s="5"/>
    </row>
    <row r="75" spans="1:16" s="2" customFormat="1" ht="15" customHeight="1">
      <c r="A75" s="7"/>
      <c r="B75" s="7"/>
      <c r="C75" s="7"/>
      <c r="D75" s="7"/>
      <c r="E75" s="7"/>
      <c r="F75" s="7"/>
      <c r="G75" s="7"/>
      <c r="H75" s="7"/>
      <c r="I75" s="7"/>
      <c r="J75" s="7"/>
      <c r="L75" s="5"/>
      <c r="M75" s="5"/>
      <c r="N75" s="5"/>
    </row>
    <row r="76" spans="1:16" s="2" customFormat="1" ht="15" customHeight="1">
      <c r="A76" s="7"/>
      <c r="B76" s="7"/>
      <c r="C76" s="7"/>
      <c r="D76" s="7"/>
      <c r="E76" s="7"/>
      <c r="F76" s="7"/>
      <c r="G76" s="7"/>
      <c r="H76" s="7"/>
      <c r="I76" s="7"/>
      <c r="J76" s="7"/>
      <c r="L76" s="5"/>
      <c r="M76" s="5"/>
      <c r="N76" s="5"/>
    </row>
    <row r="77" spans="1:16" s="2" customFormat="1" ht="15" customHeight="1">
      <c r="A77" s="7"/>
      <c r="B77" s="7"/>
      <c r="C77" s="7"/>
      <c r="D77" s="7"/>
      <c r="E77" s="7"/>
      <c r="F77" s="7"/>
      <c r="G77" s="7"/>
      <c r="H77" s="7"/>
      <c r="I77" s="7"/>
      <c r="J77" s="7"/>
      <c r="L77" s="5"/>
      <c r="M77" s="5"/>
      <c r="N77" s="5"/>
    </row>
    <row r="78" spans="1:16" s="2" customFormat="1" ht="15" customHeight="1">
      <c r="A78" s="7"/>
      <c r="B78" s="7"/>
      <c r="C78" s="7"/>
      <c r="D78" s="7"/>
      <c r="E78" s="7"/>
      <c r="F78" s="7"/>
      <c r="G78" s="7"/>
      <c r="H78" s="7"/>
      <c r="I78" s="7"/>
      <c r="J78" s="7"/>
      <c r="L78" s="48"/>
      <c r="M78" s="48"/>
      <c r="N78" s="48"/>
    </row>
    <row r="79" spans="1:16" s="2" customFormat="1" ht="15" customHeight="1">
      <c r="A79" s="7"/>
      <c r="B79" s="7"/>
      <c r="C79" s="7"/>
      <c r="D79" s="7"/>
      <c r="E79" s="7"/>
      <c r="F79" s="7"/>
      <c r="G79" s="7"/>
      <c r="H79" s="7"/>
      <c r="I79" s="7"/>
      <c r="J79" s="7"/>
      <c r="L79" s="50"/>
      <c r="M79" s="50"/>
      <c r="N79" s="50"/>
    </row>
    <row r="80" spans="1:16" s="5" customFormat="1" ht="15" customHeight="1">
      <c r="A80" s="7"/>
      <c r="B80" s="7"/>
      <c r="C80" s="7"/>
      <c r="D80" s="7"/>
      <c r="E80" s="7"/>
      <c r="F80" s="7"/>
      <c r="G80" s="7"/>
      <c r="H80" s="7"/>
      <c r="I80" s="7"/>
      <c r="J80" s="7"/>
      <c r="L80" s="50"/>
      <c r="M80" s="50"/>
      <c r="N80" s="50"/>
      <c r="O80" s="2"/>
      <c r="P80" s="2"/>
    </row>
    <row r="81" spans="1:16" s="5" customFormat="1" ht="15" customHeight="1">
      <c r="A81" s="7"/>
      <c r="B81" s="7"/>
      <c r="C81" s="7"/>
      <c r="D81" s="7"/>
      <c r="E81" s="7"/>
      <c r="F81" s="7"/>
      <c r="G81" s="7"/>
      <c r="H81" s="7"/>
      <c r="I81" s="7"/>
      <c r="J81" s="7"/>
      <c r="L81" s="50"/>
      <c r="M81" s="50"/>
      <c r="N81" s="50"/>
    </row>
    <row r="82" spans="1:16" s="5" customFormat="1" ht="15" customHeight="1">
      <c r="A82" s="7"/>
      <c r="B82" s="7"/>
      <c r="C82" s="7"/>
      <c r="D82" s="7"/>
      <c r="E82" s="7"/>
      <c r="F82" s="7"/>
      <c r="G82" s="7"/>
      <c r="H82" s="7"/>
      <c r="I82" s="7"/>
      <c r="J82" s="7"/>
      <c r="L82" s="46"/>
      <c r="M82" s="46"/>
      <c r="N82" s="46"/>
    </row>
    <row r="83" spans="1:16" s="5" customFormat="1" ht="15" customHeight="1">
      <c r="A83" s="7"/>
      <c r="B83" s="7"/>
      <c r="C83" s="7"/>
      <c r="D83" s="7"/>
      <c r="E83" s="7"/>
      <c r="F83" s="7"/>
      <c r="G83" s="7"/>
      <c r="H83" s="7"/>
      <c r="I83" s="7"/>
      <c r="J83" s="7"/>
      <c r="L83" s="46"/>
      <c r="M83" s="46"/>
      <c r="N83" s="46"/>
    </row>
    <row r="84" spans="1:16" s="5" customFormat="1" ht="15" customHeight="1">
      <c r="A84" s="7"/>
      <c r="B84" s="7"/>
      <c r="C84" s="7"/>
      <c r="D84" s="7"/>
      <c r="E84" s="7"/>
      <c r="F84" s="7"/>
      <c r="G84" s="7"/>
      <c r="H84" s="7"/>
      <c r="I84" s="7"/>
      <c r="J84" s="7"/>
      <c r="L84" s="46"/>
      <c r="M84" s="46"/>
      <c r="N84" s="46"/>
    </row>
    <row r="85" spans="1:16" s="5" customFormat="1" ht="15" customHeight="1">
      <c r="A85" s="7"/>
      <c r="B85" s="7"/>
      <c r="C85" s="7"/>
      <c r="D85" s="7"/>
      <c r="E85" s="7"/>
      <c r="F85" s="7"/>
      <c r="G85" s="7"/>
      <c r="H85" s="7"/>
      <c r="I85" s="7"/>
      <c r="J85" s="7"/>
      <c r="L85" s="46"/>
      <c r="M85" s="46"/>
      <c r="N85" s="46"/>
    </row>
    <row r="86" spans="1:16" s="48" customFormat="1" ht="15" customHeight="1">
      <c r="A86" s="7"/>
      <c r="B86" s="7"/>
      <c r="C86" s="7"/>
      <c r="D86" s="7"/>
      <c r="E86" s="7"/>
      <c r="F86" s="7"/>
      <c r="G86" s="7"/>
      <c r="H86" s="7"/>
      <c r="I86" s="7"/>
      <c r="J86" s="7"/>
      <c r="L86" s="46"/>
      <c r="M86" s="46"/>
      <c r="N86" s="46"/>
      <c r="O86" s="5"/>
      <c r="P86" s="5"/>
    </row>
    <row r="87" spans="1:16" s="50" customFormat="1" ht="15" customHeight="1">
      <c r="A87" s="7"/>
      <c r="B87" s="7"/>
      <c r="C87" s="7"/>
      <c r="D87" s="7"/>
      <c r="E87" s="7"/>
      <c r="F87" s="7"/>
      <c r="G87" s="7"/>
      <c r="H87" s="7"/>
      <c r="I87" s="7"/>
      <c r="J87" s="7"/>
      <c r="L87" s="46"/>
      <c r="M87" s="46"/>
      <c r="N87" s="46"/>
      <c r="O87" s="48"/>
      <c r="P87" s="48"/>
    </row>
    <row r="88" spans="1:16" s="50" customFormat="1" ht="15" customHeight="1">
      <c r="A88" s="7"/>
      <c r="B88" s="7"/>
      <c r="C88" s="7"/>
      <c r="D88" s="7"/>
      <c r="E88" s="7"/>
      <c r="F88" s="7"/>
      <c r="G88" s="7"/>
      <c r="H88" s="7"/>
      <c r="I88" s="7"/>
      <c r="J88" s="7"/>
      <c r="L88" s="46"/>
      <c r="M88" s="46"/>
      <c r="N88" s="46"/>
    </row>
    <row r="89" spans="1:16" s="50" customFormat="1" ht="15" customHeight="1">
      <c r="A89" s="7"/>
      <c r="B89" s="7"/>
      <c r="C89" s="7"/>
      <c r="D89" s="7"/>
      <c r="E89" s="7"/>
      <c r="F89" s="7"/>
      <c r="G89" s="7"/>
      <c r="H89" s="7"/>
      <c r="I89" s="7"/>
      <c r="J89" s="7"/>
      <c r="L89" s="46"/>
      <c r="M89" s="46"/>
      <c r="N89" s="46"/>
    </row>
    <row r="90" spans="1:16" ht="15" customHeight="1">
      <c r="A90" s="7"/>
      <c r="B90" s="7"/>
      <c r="C90" s="7"/>
      <c r="D90" s="7"/>
      <c r="E90" s="7"/>
      <c r="F90" s="7"/>
      <c r="G90" s="7"/>
      <c r="H90" s="7"/>
      <c r="I90" s="7"/>
      <c r="J90" s="7"/>
      <c r="O90" s="50"/>
      <c r="P90" s="50"/>
    </row>
    <row r="91" spans="1:16" ht="15" customHeight="1">
      <c r="B91" s="7"/>
      <c r="C91" s="7"/>
      <c r="D91" s="7"/>
      <c r="E91" s="7"/>
      <c r="F91" s="7"/>
      <c r="G91" s="7"/>
      <c r="H91" s="7"/>
      <c r="I91" s="7"/>
      <c r="J91" s="7"/>
    </row>
    <row r="92" spans="1:16" ht="15" customHeight="1">
      <c r="B92" s="7"/>
      <c r="C92" s="7"/>
      <c r="D92" s="7"/>
      <c r="E92" s="7"/>
      <c r="F92" s="7"/>
      <c r="G92" s="7"/>
      <c r="H92" s="7"/>
      <c r="I92" s="7"/>
      <c r="J92" s="7"/>
    </row>
    <row r="93" spans="1:16" ht="15" customHeight="1">
      <c r="B93" s="7"/>
      <c r="C93" s="7"/>
      <c r="D93" s="7"/>
      <c r="E93" s="7"/>
      <c r="F93" s="7"/>
      <c r="G93" s="7"/>
      <c r="H93" s="7"/>
      <c r="I93" s="7"/>
      <c r="J93" s="7"/>
    </row>
    <row r="94" spans="1:16" ht="15" customHeight="1">
      <c r="B94" s="7"/>
      <c r="C94" s="7"/>
      <c r="D94" s="7"/>
      <c r="E94" s="7"/>
      <c r="F94" s="7"/>
      <c r="G94" s="7"/>
      <c r="H94" s="7"/>
      <c r="I94" s="7"/>
      <c r="J94" s="7"/>
    </row>
  </sheetData>
  <sheetProtection algorithmName="SHA-512" hashValue="3B3CS7w8dDpRfpDAxgdyiiVmUmWesNhkdaIJczefizLbF2CfTdjQuLrZ9qQvXWO2avWCGVJAVOGRvrixzSX3Pg==" saltValue="5ljsu8mYjkgqKOkJvbwy3w==" spinCount="100000" sheet="1" objects="1" scenarios="1"/>
  <mergeCells count="9">
    <mergeCell ref="A7:C9"/>
    <mergeCell ref="A1:L1"/>
    <mergeCell ref="J8:K8"/>
    <mergeCell ref="H8:I8"/>
    <mergeCell ref="F8:G8"/>
    <mergeCell ref="D8:E8"/>
    <mergeCell ref="D7:G7"/>
    <mergeCell ref="H7:K7"/>
    <mergeCell ref="E4:G4"/>
  </mergeCells>
  <pageMargins left="0.55118110236220474" right="0.23622047244094491" top="0.43307086614173229" bottom="0.43307086614173229" header="0.27559055118110237" footer="0.27559055118110237"/>
  <pageSetup paperSize="8" scale="35" orientation="portrait" r:id="rId1"/>
  <headerFooter scaleWithDoc="0" alignWithMargins="0">
    <oddFooter>&amp;C&amp;P/&amp;N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ublished="0" codeName="Blad15"/>
  <dimension ref="A1:AG99"/>
  <sheetViews>
    <sheetView zoomScaleNormal="100" workbookViewId="0">
      <selection activeCell="E4" sqref="E4:F4"/>
    </sheetView>
  </sheetViews>
  <sheetFormatPr defaultColWidth="10.7109375" defaultRowHeight="15" outlineLevelCol="2"/>
  <cols>
    <col min="1" max="1" width="20.7109375" style="60" customWidth="1"/>
    <col min="2" max="2" width="30.7109375" style="60" customWidth="1"/>
    <col min="3" max="3" width="20.7109375" style="60" customWidth="1"/>
    <col min="4" max="4" width="30.7109375" style="60" customWidth="1"/>
    <col min="5" max="5" width="20.7109375" style="60" customWidth="1"/>
    <col min="6" max="6" width="30.7109375" style="591" customWidth="1"/>
    <col min="7" max="7" width="100.7109375" style="591" customWidth="1"/>
    <col min="8" max="10" width="30.7109375" style="60" customWidth="1"/>
    <col min="11" max="12" width="20.7109375" style="60" customWidth="1"/>
    <col min="13" max="16" width="20.7109375" style="60" customWidth="1" outlineLevel="1"/>
    <col min="17" max="18" width="20.7109375" style="60" customWidth="1" outlineLevel="2"/>
    <col min="19" max="20" width="20.7109375" style="60" customWidth="1"/>
    <col min="21" max="21" width="5.7109375" style="591" customWidth="1"/>
    <col min="22" max="33" width="10.7109375" style="591" customWidth="1"/>
    <col min="34" max="16384" width="10.7109375" style="60"/>
  </cols>
  <sheetData>
    <row r="1" spans="1:33" s="53" customFormat="1" ht="30" customHeight="1" thickBot="1">
      <c r="A1" s="1437" t="s">
        <v>169</v>
      </c>
      <c r="B1" s="1438"/>
      <c r="C1" s="1438"/>
      <c r="D1" s="1438"/>
      <c r="E1" s="1438"/>
      <c r="F1" s="1438"/>
      <c r="G1" s="1439"/>
      <c r="H1" s="1"/>
      <c r="I1" s="1"/>
      <c r="J1" s="1"/>
      <c r="K1" s="1"/>
      <c r="L1" s="1"/>
      <c r="M1" s="1"/>
      <c r="U1" s="67"/>
      <c r="V1" s="67"/>
      <c r="W1" s="67"/>
      <c r="X1" s="67"/>
      <c r="Y1" s="67"/>
      <c r="Z1" s="67"/>
      <c r="AA1" s="67"/>
      <c r="AB1" s="67"/>
      <c r="AC1" s="67"/>
      <c r="AD1" s="67"/>
      <c r="AE1" s="67"/>
      <c r="AF1" s="67"/>
      <c r="AG1" s="67"/>
    </row>
    <row r="2" spans="1:33" s="53" customFormat="1" ht="15" customHeight="1">
      <c r="A2" s="52"/>
      <c r="B2" s="52"/>
      <c r="C2" s="52"/>
      <c r="D2" s="52"/>
      <c r="E2" s="52"/>
      <c r="F2" s="63"/>
      <c r="G2" s="63"/>
      <c r="H2" s="52"/>
      <c r="I2" s="52"/>
      <c r="J2" s="52"/>
      <c r="K2" s="52"/>
      <c r="L2" s="52"/>
      <c r="M2" s="52"/>
      <c r="U2" s="67"/>
      <c r="V2" s="67"/>
      <c r="W2" s="67"/>
      <c r="X2" s="67"/>
      <c r="Y2" s="67"/>
      <c r="Z2" s="67"/>
      <c r="AA2" s="67"/>
      <c r="AB2" s="67"/>
      <c r="AC2" s="67"/>
      <c r="AD2" s="67"/>
      <c r="AE2" s="67"/>
      <c r="AF2" s="67"/>
      <c r="AG2" s="67"/>
    </row>
    <row r="3" spans="1:33" s="55" customFormat="1" ht="15" customHeight="1" thickBot="1">
      <c r="A3" s="54"/>
      <c r="B3" s="54"/>
      <c r="C3" s="54"/>
      <c r="D3" s="54"/>
      <c r="F3" s="64"/>
      <c r="G3" s="64"/>
      <c r="U3" s="64"/>
      <c r="V3" s="64"/>
      <c r="W3" s="64"/>
      <c r="X3" s="64"/>
      <c r="Y3" s="64"/>
      <c r="Z3" s="64"/>
      <c r="AA3" s="64"/>
      <c r="AB3" s="64"/>
      <c r="AC3" s="64"/>
      <c r="AD3" s="64"/>
      <c r="AE3" s="64"/>
      <c r="AF3" s="64"/>
      <c r="AG3" s="64"/>
    </row>
    <row r="4" spans="1:33" s="56" customFormat="1" ht="20.25" customHeight="1" thickBot="1">
      <c r="B4" s="57" t="s">
        <v>6</v>
      </c>
      <c r="C4" s="58"/>
      <c r="E4" s="1418" t="str">
        <f>DNB</f>
        <v>Naam distributienetbeheerder</v>
      </c>
      <c r="F4" s="1420"/>
      <c r="G4" s="66"/>
      <c r="H4" s="1565"/>
      <c r="I4" s="1565"/>
      <c r="J4" s="613"/>
      <c r="K4" s="59"/>
      <c r="L4" s="59"/>
      <c r="M4" s="59"/>
      <c r="P4" s="59"/>
      <c r="Q4" s="59"/>
      <c r="R4" s="59"/>
      <c r="S4" s="59"/>
      <c r="T4" s="59"/>
      <c r="U4" s="68"/>
      <c r="V4" s="69"/>
      <c r="W4" s="70"/>
      <c r="X4" s="70"/>
      <c r="Y4" s="70"/>
      <c r="Z4" s="70"/>
      <c r="AA4" s="70"/>
      <c r="AB4" s="70"/>
      <c r="AC4" s="70"/>
      <c r="AD4" s="70"/>
      <c r="AE4" s="70"/>
      <c r="AF4" s="70"/>
      <c r="AG4" s="70"/>
    </row>
    <row r="5" spans="1:33" s="61" customFormat="1" ht="15" customHeight="1">
      <c r="A5" s="60"/>
      <c r="B5" s="60"/>
      <c r="C5" s="60"/>
      <c r="D5" s="60"/>
      <c r="E5" s="60"/>
      <c r="F5" s="591"/>
      <c r="G5" s="591"/>
      <c r="H5" s="60"/>
      <c r="I5" s="60"/>
      <c r="J5" s="60"/>
      <c r="U5" s="71"/>
      <c r="V5" s="71"/>
      <c r="W5" s="71"/>
      <c r="X5" s="71"/>
      <c r="Y5" s="71"/>
      <c r="Z5" s="71"/>
      <c r="AA5" s="71"/>
      <c r="AB5" s="71"/>
      <c r="AC5" s="71"/>
      <c r="AD5" s="71"/>
      <c r="AE5" s="71"/>
      <c r="AF5" s="71"/>
      <c r="AG5" s="71"/>
    </row>
    <row r="6" spans="1:33" s="61" customFormat="1" ht="15" customHeight="1" thickBot="1">
      <c r="A6" s="60"/>
      <c r="B6" s="60"/>
      <c r="C6" s="60"/>
      <c r="D6" s="60"/>
      <c r="E6" s="60"/>
      <c r="F6" s="591"/>
      <c r="G6" s="591"/>
      <c r="H6" s="60"/>
      <c r="I6" s="60"/>
      <c r="J6" s="60"/>
      <c r="K6" s="60"/>
      <c r="L6" s="60"/>
      <c r="M6" s="60"/>
      <c r="U6" s="71"/>
      <c r="V6" s="71"/>
      <c r="W6" s="71"/>
      <c r="X6" s="71"/>
      <c r="Y6" s="71"/>
      <c r="Z6" s="71"/>
      <c r="AA6" s="71"/>
      <c r="AB6" s="71"/>
      <c r="AC6" s="71"/>
      <c r="AD6" s="71"/>
      <c r="AE6" s="71"/>
      <c r="AF6" s="71"/>
      <c r="AG6" s="71"/>
    </row>
    <row r="7" spans="1:33" s="62" customFormat="1" ht="50.25" customHeight="1" thickBot="1">
      <c r="A7" s="302" t="s">
        <v>87</v>
      </c>
      <c r="B7" s="72" t="s">
        <v>82</v>
      </c>
      <c r="C7" s="72" t="s">
        <v>93</v>
      </c>
      <c r="D7" s="72" t="s">
        <v>94</v>
      </c>
      <c r="E7" s="72" t="s">
        <v>95</v>
      </c>
      <c r="F7" s="73" t="s">
        <v>96</v>
      </c>
      <c r="G7" s="380" t="s">
        <v>99</v>
      </c>
      <c r="H7" s="237" t="s">
        <v>256</v>
      </c>
      <c r="I7" s="76" t="s">
        <v>257</v>
      </c>
      <c r="J7" s="381" t="s">
        <v>321</v>
      </c>
      <c r="K7" s="245" t="s">
        <v>101</v>
      </c>
      <c r="L7" s="245" t="s">
        <v>279</v>
      </c>
      <c r="M7" s="75" t="s">
        <v>308</v>
      </c>
      <c r="N7" s="75" t="s">
        <v>309</v>
      </c>
      <c r="O7" s="75" t="s">
        <v>319</v>
      </c>
      <c r="P7" s="75" t="s">
        <v>310</v>
      </c>
      <c r="Q7" s="280" t="s">
        <v>307</v>
      </c>
      <c r="R7" s="77" t="s">
        <v>549</v>
      </c>
      <c r="S7" s="303" t="s">
        <v>278</v>
      </c>
      <c r="T7" s="65"/>
      <c r="U7" s="65"/>
      <c r="V7" s="65"/>
      <c r="W7" s="65"/>
      <c r="X7" s="65"/>
      <c r="Y7" s="65"/>
      <c r="Z7" s="65"/>
      <c r="AA7" s="65"/>
      <c r="AB7" s="65"/>
      <c r="AC7" s="65"/>
      <c r="AD7" s="65"/>
      <c r="AE7" s="65"/>
      <c r="AF7" s="65"/>
    </row>
    <row r="8" spans="1:33" ht="15" customHeight="1">
      <c r="A8" s="78" t="s">
        <v>88</v>
      </c>
      <c r="B8" s="79" t="s">
        <v>83</v>
      </c>
      <c r="C8" s="79" t="s">
        <v>23</v>
      </c>
      <c r="D8" s="79" t="s">
        <v>27</v>
      </c>
      <c r="E8" s="79" t="s">
        <v>89</v>
      </c>
      <c r="F8" s="79" t="s">
        <v>91</v>
      </c>
      <c r="G8" s="80" t="s">
        <v>261</v>
      </c>
      <c r="H8" s="179" t="s">
        <v>238</v>
      </c>
      <c r="I8" s="180" t="s">
        <v>315</v>
      </c>
      <c r="J8" s="79" t="s">
        <v>318</v>
      </c>
      <c r="K8" s="900"/>
      <c r="L8" s="92" t="e">
        <f>IF(ISTEXT($H8),INDEX(VDSL1[Afname (%)],MATCH($H8,VDSL1[Verdeelsleutel],0))*$K8,"")</f>
        <v>#VALUE!</v>
      </c>
      <c r="M8" s="89" t="e">
        <f>IF(ISTEXT($I8),INDEX(VDSL2[TRHS (%)],MATCH($I8,VDSL2[Verdeelsleutel],0))*$L8,"")</f>
        <v>#DIV/0!</v>
      </c>
      <c r="N8" s="89" t="e">
        <f>IF(ISTEXT($I8),INDEX(VDSL2[MS (%)],MATCH($I8,VDSL2[Verdeelsleutel],0))*$L8,"")</f>
        <v>#VALUE!</v>
      </c>
      <c r="O8" s="89" t="e">
        <f>IF(ISTEXT($I8),INDEX(VDSL2[TRLS (%)],MATCH($I8,VDSL2[Verdeelsleutel],0))*$L8,"")</f>
        <v>#VALUE!</v>
      </c>
      <c r="P8" s="89" t="e">
        <f>IF(ISTEXT($I8),INDEX(VDSL2[LS (%)],MATCH($I8,VDSL2[Verdeelsleutel],0))*$L8,"")</f>
        <v>#VALUE!</v>
      </c>
      <c r="Q8" s="89" t="e">
        <f>IF(ISTEXT($J8),INDEX(VDSL3[Afnameklanten op LS met piekmeting (%)],MATCH($J8,VDSL3[Verdeelsleutel],0))*$P8,"")</f>
        <v>#DIV/0!</v>
      </c>
      <c r="R8" s="91" t="e">
        <f>IF(ISTEXT($J8),INDEX(VDSL3[Afnameklanten met KM/TT (%)],MATCH($J8,VDSL3[Verdeelsleutel],0))*$P8,"")</f>
        <v>#DIV/0!</v>
      </c>
      <c r="S8" s="92" t="e">
        <f>IF(ISTEXT($H8),INDEX(VDSL1[Injectie (%)],MATCH($H8,VDSL1[Verdeelsleutel],0))*$K8,"")</f>
        <v>#VALUE!</v>
      </c>
      <c r="T8" s="591"/>
      <c r="U8" s="1"/>
      <c r="V8" s="1"/>
      <c r="AG8" s="60"/>
    </row>
    <row r="9" spans="1:33" ht="15" customHeight="1">
      <c r="A9" s="81" t="s">
        <v>88</v>
      </c>
      <c r="B9" s="82" t="s">
        <v>83</v>
      </c>
      <c r="C9" s="82" t="s">
        <v>23</v>
      </c>
      <c r="D9" s="82" t="s">
        <v>27</v>
      </c>
      <c r="E9" s="82" t="s">
        <v>89</v>
      </c>
      <c r="F9" s="82" t="s">
        <v>91</v>
      </c>
      <c r="G9" s="83" t="s">
        <v>260</v>
      </c>
      <c r="H9" s="181" t="s">
        <v>238</v>
      </c>
      <c r="I9" s="182" t="s">
        <v>315</v>
      </c>
      <c r="J9" s="82" t="s">
        <v>318</v>
      </c>
      <c r="K9" s="901"/>
      <c r="L9" s="95" t="e">
        <f>IF(ISTEXT($H9),INDEX(VDSL1[Afname (%)],MATCH($H9,VDSL1[Verdeelsleutel],0))*$K9,"")</f>
        <v>#VALUE!</v>
      </c>
      <c r="M9" s="93" t="e">
        <f>IF(ISTEXT($I9),INDEX(VDSL2[TRHS (%)],MATCH($I9,VDSL2[Verdeelsleutel],0))*$L9,"")</f>
        <v>#DIV/0!</v>
      </c>
      <c r="N9" s="93" t="e">
        <f>IF(ISTEXT($I9),INDEX(VDSL2[MS (%)],MATCH($I9,VDSL2[Verdeelsleutel],0))*$L9,"")</f>
        <v>#VALUE!</v>
      </c>
      <c r="O9" s="93" t="e">
        <f>IF(ISTEXT($I9),INDEX(VDSL2[TRLS (%)],MATCH($I9,VDSL2[Verdeelsleutel],0))*$L9,"")</f>
        <v>#VALUE!</v>
      </c>
      <c r="P9" s="93" t="e">
        <f>IF(ISTEXT($I9),INDEX(VDSL2[LS (%)],MATCH($I9,VDSL2[Verdeelsleutel],0))*$L9,"")</f>
        <v>#VALUE!</v>
      </c>
      <c r="Q9" s="93" t="e">
        <f>IF(ISTEXT($J9),INDEX(VDSL3[Afnameklanten op LS met piekmeting (%)],MATCH($J9,VDSL3[Verdeelsleutel],0))*$P9,"")</f>
        <v>#DIV/0!</v>
      </c>
      <c r="R9" s="94" t="e">
        <f>IF(ISTEXT($J9),INDEX(VDSL3[Afnameklanten met KM/TT (%)],MATCH($J9,VDSL3[Verdeelsleutel],0))*$P9,"")</f>
        <v>#DIV/0!</v>
      </c>
      <c r="S9" s="95" t="e">
        <f>IF(ISTEXT($H9),INDEX(VDSL1[Injectie (%)],MATCH($H9,VDSL1[Verdeelsleutel],0))*$K9,"")</f>
        <v>#VALUE!</v>
      </c>
      <c r="T9" s="591"/>
      <c r="U9" s="1"/>
      <c r="V9" s="1"/>
      <c r="AG9" s="60"/>
    </row>
    <row r="10" spans="1:33" ht="15" customHeight="1">
      <c r="A10" s="81" t="s">
        <v>88</v>
      </c>
      <c r="B10" s="82" t="s">
        <v>83</v>
      </c>
      <c r="C10" s="82" t="s">
        <v>23</v>
      </c>
      <c r="D10" s="82" t="s">
        <v>27</v>
      </c>
      <c r="E10" s="82" t="s">
        <v>89</v>
      </c>
      <c r="F10" s="82" t="s">
        <v>91</v>
      </c>
      <c r="G10" s="83" t="s">
        <v>228</v>
      </c>
      <c r="H10" s="181" t="s">
        <v>238</v>
      </c>
      <c r="I10" s="182" t="s">
        <v>317</v>
      </c>
      <c r="J10" s="82" t="s">
        <v>318</v>
      </c>
      <c r="K10" s="901"/>
      <c r="L10" s="95" t="e">
        <f>IF(ISTEXT($H10),INDEX(VDSL1[Afname (%)],MATCH($H10,VDSL1[Verdeelsleutel],0))*$K10,"")</f>
        <v>#VALUE!</v>
      </c>
      <c r="M10" s="93" t="e">
        <f>IF(ISTEXT($I10),INDEX(VDSL2[TRHS (%)],MATCH($I10,VDSL2[Verdeelsleutel],0))*$L10,"")</f>
        <v>#DIV/0!</v>
      </c>
      <c r="N10" s="93" t="e">
        <f>IF(ISTEXT($I10),INDEX(VDSL2[MS (%)],MATCH($I10,VDSL2[Verdeelsleutel],0))*$L10,"")</f>
        <v>#DIV/0!</v>
      </c>
      <c r="O10" s="93" t="e">
        <f>IF(ISTEXT($I10),INDEX(VDSL2[TRLS (%)],MATCH($I10,VDSL2[Verdeelsleutel],0))*$L10,"")</f>
        <v>#DIV/0!</v>
      </c>
      <c r="P10" s="93" t="e">
        <f>IF(ISTEXT($I10),INDEX(VDSL2[LS (%)],MATCH($I10,VDSL2[Verdeelsleutel],0))*$L10,"")</f>
        <v>#VALUE!</v>
      </c>
      <c r="Q10" s="93" t="e">
        <f>IF(ISTEXT($J10),INDEX(VDSL3[Afnameklanten op LS met piekmeting (%)],MATCH($J10,VDSL3[Verdeelsleutel],0))*$P10,"")</f>
        <v>#DIV/0!</v>
      </c>
      <c r="R10" s="94" t="e">
        <f>IF(ISTEXT($J10),INDEX(VDSL3[Afnameklanten met KM/TT (%)],MATCH($J10,VDSL3[Verdeelsleutel],0))*$P10,"")</f>
        <v>#DIV/0!</v>
      </c>
      <c r="S10" s="95" t="e">
        <f>IF(ISTEXT($H10),INDEX(VDSL1[Injectie (%)],MATCH($H10,VDSL1[Verdeelsleutel],0))*$K10,"")</f>
        <v>#VALUE!</v>
      </c>
      <c r="T10" s="591"/>
      <c r="U10" s="1"/>
      <c r="V10" s="1"/>
      <c r="AG10" s="60"/>
    </row>
    <row r="11" spans="1:33" ht="15" customHeight="1">
      <c r="A11" s="81" t="s">
        <v>88</v>
      </c>
      <c r="B11" s="82" t="s">
        <v>83</v>
      </c>
      <c r="C11" s="82" t="s">
        <v>23</v>
      </c>
      <c r="D11" s="82" t="s">
        <v>27</v>
      </c>
      <c r="E11" s="82" t="s">
        <v>89</v>
      </c>
      <c r="F11" s="82" t="s">
        <v>91</v>
      </c>
      <c r="G11" s="83" t="s">
        <v>32</v>
      </c>
      <c r="H11" s="181" t="s">
        <v>238</v>
      </c>
      <c r="I11" s="182" t="s">
        <v>317</v>
      </c>
      <c r="J11" s="82" t="s">
        <v>318</v>
      </c>
      <c r="K11" s="901"/>
      <c r="L11" s="95" t="e">
        <f>IF(ISTEXT($H11),INDEX(VDSL1[Afname (%)],MATCH($H11,VDSL1[Verdeelsleutel],0))*$K11,"")</f>
        <v>#VALUE!</v>
      </c>
      <c r="M11" s="93" t="e">
        <f>IF(ISTEXT($I11),INDEX(VDSL2[TRHS (%)],MATCH($I11,VDSL2[Verdeelsleutel],0))*$L11,"")</f>
        <v>#DIV/0!</v>
      </c>
      <c r="N11" s="93" t="e">
        <f>IF(ISTEXT($I11),INDEX(VDSL2[MS (%)],MATCH($I11,VDSL2[Verdeelsleutel],0))*$L11,"")</f>
        <v>#DIV/0!</v>
      </c>
      <c r="O11" s="93" t="e">
        <f>IF(ISTEXT($I11),INDEX(VDSL2[TRLS (%)],MATCH($I11,VDSL2[Verdeelsleutel],0))*$L11,"")</f>
        <v>#DIV/0!</v>
      </c>
      <c r="P11" s="93" t="e">
        <f>IF(ISTEXT($I11),INDEX(VDSL2[LS (%)],MATCH($I11,VDSL2[Verdeelsleutel],0))*$L11,"")</f>
        <v>#VALUE!</v>
      </c>
      <c r="Q11" s="93" t="e">
        <f>IF(ISTEXT($J11),INDEX(VDSL3[Afnameklanten op LS met piekmeting (%)],MATCH($J11,VDSL3[Verdeelsleutel],0))*$P11,"")</f>
        <v>#DIV/0!</v>
      </c>
      <c r="R11" s="94" t="e">
        <f>IF(ISTEXT($J11),INDEX(VDSL3[Afnameklanten met KM/TT (%)],MATCH($J11,VDSL3[Verdeelsleutel],0))*$P11,"")</f>
        <v>#DIV/0!</v>
      </c>
      <c r="S11" s="95" t="e">
        <f>IF(ISTEXT($H11),INDEX(VDSL1[Injectie (%)],MATCH($H11,VDSL1[Verdeelsleutel],0))*$K11,"")</f>
        <v>#VALUE!</v>
      </c>
      <c r="T11" s="591"/>
      <c r="U11" s="1"/>
      <c r="V11" s="1"/>
      <c r="AG11" s="60"/>
    </row>
    <row r="12" spans="1:33" ht="15" customHeight="1">
      <c r="A12" s="81" t="s">
        <v>88</v>
      </c>
      <c r="B12" s="82" t="s">
        <v>83</v>
      </c>
      <c r="C12" s="82" t="s">
        <v>23</v>
      </c>
      <c r="D12" s="82" t="s">
        <v>27</v>
      </c>
      <c r="E12" s="82" t="s">
        <v>89</v>
      </c>
      <c r="F12" s="82" t="s">
        <v>91</v>
      </c>
      <c r="G12" s="83" t="s">
        <v>255</v>
      </c>
      <c r="H12" s="181" t="s">
        <v>238</v>
      </c>
      <c r="I12" s="182" t="s">
        <v>315</v>
      </c>
      <c r="J12" s="82" t="s">
        <v>318</v>
      </c>
      <c r="K12" s="901"/>
      <c r="L12" s="95" t="e">
        <f>IF(ISTEXT($H12),INDEX(VDSL1[Afname (%)],MATCH($H12,VDSL1[Verdeelsleutel],0))*$K12,"")</f>
        <v>#VALUE!</v>
      </c>
      <c r="M12" s="93" t="e">
        <f>IF(ISTEXT($I12),INDEX(VDSL2[TRHS (%)],MATCH($I12,VDSL2[Verdeelsleutel],0))*$L12,"")</f>
        <v>#DIV/0!</v>
      </c>
      <c r="N12" s="93" t="e">
        <f>IF(ISTEXT($I12),INDEX(VDSL2[MS (%)],MATCH($I12,VDSL2[Verdeelsleutel],0))*$L12,"")</f>
        <v>#VALUE!</v>
      </c>
      <c r="O12" s="93" t="e">
        <f>IF(ISTEXT($I12),INDEX(VDSL2[TRLS (%)],MATCH($I12,VDSL2[Verdeelsleutel],0))*$L12,"")</f>
        <v>#VALUE!</v>
      </c>
      <c r="P12" s="93" t="e">
        <f>IF(ISTEXT($I12),INDEX(VDSL2[LS (%)],MATCH($I12,VDSL2[Verdeelsleutel],0))*$L12,"")</f>
        <v>#VALUE!</v>
      </c>
      <c r="Q12" s="93" t="e">
        <f>IF(ISTEXT($J12),INDEX(VDSL3[Afnameklanten op LS met piekmeting (%)],MATCH($J12,VDSL3[Verdeelsleutel],0))*$P12,"")</f>
        <v>#DIV/0!</v>
      </c>
      <c r="R12" s="94" t="e">
        <f>IF(ISTEXT($J12),INDEX(VDSL3[Afnameklanten met KM/TT (%)],MATCH($J12,VDSL3[Verdeelsleutel],0))*$P12,"")</f>
        <v>#DIV/0!</v>
      </c>
      <c r="S12" s="95" t="e">
        <f>IF(ISTEXT($H12),INDEX(VDSL1[Injectie (%)],MATCH($H12,VDSL1[Verdeelsleutel],0))*$K12,"")</f>
        <v>#VALUE!</v>
      </c>
      <c r="T12" s="591"/>
      <c r="U12" s="1"/>
      <c r="V12" s="1"/>
      <c r="AG12" s="60"/>
    </row>
    <row r="13" spans="1:33" ht="15" customHeight="1">
      <c r="A13" s="81" t="s">
        <v>88</v>
      </c>
      <c r="B13" s="82" t="s">
        <v>83</v>
      </c>
      <c r="C13" s="82" t="s">
        <v>23</v>
      </c>
      <c r="D13" s="82" t="s">
        <v>27</v>
      </c>
      <c r="E13" s="82" t="s">
        <v>89</v>
      </c>
      <c r="F13" s="82" t="s">
        <v>91</v>
      </c>
      <c r="G13" s="83" t="s">
        <v>30</v>
      </c>
      <c r="H13" s="181" t="s">
        <v>238</v>
      </c>
      <c r="I13" s="182" t="s">
        <v>315</v>
      </c>
      <c r="J13" s="82" t="s">
        <v>318</v>
      </c>
      <c r="K13" s="901"/>
      <c r="L13" s="95" t="e">
        <f>IF(ISTEXT($H13),INDEX(VDSL1[Afname (%)],MATCH($H13,VDSL1[Verdeelsleutel],0))*$K13,"")</f>
        <v>#VALUE!</v>
      </c>
      <c r="M13" s="93" t="e">
        <f>IF(ISTEXT($I13),INDEX(VDSL2[TRHS (%)],MATCH($I13,VDSL2[Verdeelsleutel],0))*$L13,"")</f>
        <v>#DIV/0!</v>
      </c>
      <c r="N13" s="93" t="e">
        <f>IF(ISTEXT($I13),INDEX(VDSL2[MS (%)],MATCH($I13,VDSL2[Verdeelsleutel],0))*$L13,"")</f>
        <v>#VALUE!</v>
      </c>
      <c r="O13" s="93" t="e">
        <f>IF(ISTEXT($I13),INDEX(VDSL2[TRLS (%)],MATCH($I13,VDSL2[Verdeelsleutel],0))*$L13,"")</f>
        <v>#VALUE!</v>
      </c>
      <c r="P13" s="93" t="e">
        <f>IF(ISTEXT($I13),INDEX(VDSL2[LS (%)],MATCH($I13,VDSL2[Verdeelsleutel],0))*$L13,"")</f>
        <v>#VALUE!</v>
      </c>
      <c r="Q13" s="93" t="e">
        <f>IF(ISTEXT($J13),INDEX(VDSL3[Afnameklanten op LS met piekmeting (%)],MATCH($J13,VDSL3[Verdeelsleutel],0))*$P13,"")</f>
        <v>#DIV/0!</v>
      </c>
      <c r="R13" s="94" t="e">
        <f>IF(ISTEXT($J13),INDEX(VDSL3[Afnameklanten met KM/TT (%)],MATCH($J13,VDSL3[Verdeelsleutel],0))*$P13,"")</f>
        <v>#DIV/0!</v>
      </c>
      <c r="S13" s="95" t="e">
        <f>IF(ISTEXT($H13),INDEX(VDSL1[Injectie (%)],MATCH($H13,VDSL1[Verdeelsleutel],0))*$K13,"")</f>
        <v>#VALUE!</v>
      </c>
      <c r="T13" s="591"/>
      <c r="U13" s="1"/>
      <c r="V13" s="1"/>
      <c r="AG13" s="60"/>
    </row>
    <row r="14" spans="1:33" ht="15" customHeight="1">
      <c r="A14" s="81" t="s">
        <v>88</v>
      </c>
      <c r="B14" s="82" t="s">
        <v>83</v>
      </c>
      <c r="C14" s="82" t="s">
        <v>23</v>
      </c>
      <c r="D14" s="82" t="s">
        <v>27</v>
      </c>
      <c r="E14" s="82" t="s">
        <v>89</v>
      </c>
      <c r="F14" s="82" t="s">
        <v>91</v>
      </c>
      <c r="G14" s="83" t="s">
        <v>29</v>
      </c>
      <c r="H14" s="181" t="s">
        <v>238</v>
      </c>
      <c r="I14" s="182" t="s">
        <v>314</v>
      </c>
      <c r="J14" s="82" t="s">
        <v>318</v>
      </c>
      <c r="K14" s="901"/>
      <c r="L14" s="95" t="e">
        <f>IF(ISTEXT($H14),INDEX(VDSL1[Afname (%)],MATCH($H14,VDSL1[Verdeelsleutel],0))*$K14,"")</f>
        <v>#VALUE!</v>
      </c>
      <c r="M14" s="93" t="e">
        <f>IF(ISTEXT($I14),INDEX(VDSL2[TRHS (%)],MATCH($I14,VDSL2[Verdeelsleutel],0))*$L14,"")</f>
        <v>#VALUE!</v>
      </c>
      <c r="N14" s="93" t="e">
        <f>IF(ISTEXT($I14),INDEX(VDSL2[MS (%)],MATCH($I14,VDSL2[Verdeelsleutel],0))*$L14,"")</f>
        <v>#VALUE!</v>
      </c>
      <c r="O14" s="93" t="e">
        <f>IF(ISTEXT($I14),INDEX(VDSL2[TRLS (%)],MATCH($I14,VDSL2[Verdeelsleutel],0))*$L14,"")</f>
        <v>#VALUE!</v>
      </c>
      <c r="P14" s="93" t="e">
        <f>IF(ISTEXT($I14),INDEX(VDSL2[LS (%)],MATCH($I14,VDSL2[Verdeelsleutel],0))*$L14,"")</f>
        <v>#VALUE!</v>
      </c>
      <c r="Q14" s="93" t="e">
        <f>IF(ISTEXT($J14),INDEX(VDSL3[Afnameklanten op LS met piekmeting (%)],MATCH($J14,VDSL3[Verdeelsleutel],0))*$P14,"")</f>
        <v>#DIV/0!</v>
      </c>
      <c r="R14" s="94" t="e">
        <f>IF(ISTEXT($J14),INDEX(VDSL3[Afnameklanten met KM/TT (%)],MATCH($J14,VDSL3[Verdeelsleutel],0))*$P14,"")</f>
        <v>#DIV/0!</v>
      </c>
      <c r="S14" s="95" t="e">
        <f>IF(ISTEXT($H14),INDEX(VDSL1[Injectie (%)],MATCH($H14,VDSL1[Verdeelsleutel],0))*$K14,"")</f>
        <v>#VALUE!</v>
      </c>
      <c r="T14" s="591"/>
      <c r="U14" s="1"/>
      <c r="V14" s="1"/>
      <c r="AG14" s="60"/>
    </row>
    <row r="15" spans="1:33" ht="15" customHeight="1">
      <c r="A15" s="81" t="s">
        <v>88</v>
      </c>
      <c r="B15" s="82" t="s">
        <v>83</v>
      </c>
      <c r="C15" s="82" t="s">
        <v>23</v>
      </c>
      <c r="D15" s="82" t="s">
        <v>27</v>
      </c>
      <c r="E15" s="82" t="s">
        <v>89</v>
      </c>
      <c r="F15" s="82" t="s">
        <v>91</v>
      </c>
      <c r="G15" s="83" t="s">
        <v>28</v>
      </c>
      <c r="H15" s="181" t="s">
        <v>238</v>
      </c>
      <c r="I15" s="182" t="s">
        <v>314</v>
      </c>
      <c r="J15" s="82" t="s">
        <v>318</v>
      </c>
      <c r="K15" s="901"/>
      <c r="L15" s="95" t="e">
        <f>IF(ISTEXT($H15),INDEX(VDSL1[Afname (%)],MATCH($H15,VDSL1[Verdeelsleutel],0))*$K15,"")</f>
        <v>#VALUE!</v>
      </c>
      <c r="M15" s="93" t="e">
        <f>IF(ISTEXT($I15),INDEX(VDSL2[TRHS (%)],MATCH($I15,VDSL2[Verdeelsleutel],0))*$L15,"")</f>
        <v>#VALUE!</v>
      </c>
      <c r="N15" s="93" t="e">
        <f>IF(ISTEXT($I15),INDEX(VDSL2[MS (%)],MATCH($I15,VDSL2[Verdeelsleutel],0))*$L15,"")</f>
        <v>#VALUE!</v>
      </c>
      <c r="O15" s="93" t="e">
        <f>IF(ISTEXT($I15),INDEX(VDSL2[TRLS (%)],MATCH($I15,VDSL2[Verdeelsleutel],0))*$L15,"")</f>
        <v>#VALUE!</v>
      </c>
      <c r="P15" s="93" t="e">
        <f>IF(ISTEXT($I15),INDEX(VDSL2[LS (%)],MATCH($I15,VDSL2[Verdeelsleutel],0))*$L15,"")</f>
        <v>#VALUE!</v>
      </c>
      <c r="Q15" s="93" t="e">
        <f>IF(ISTEXT($J15),INDEX(VDSL3[Afnameklanten op LS met piekmeting (%)],MATCH($J15,VDSL3[Verdeelsleutel],0))*$P15,"")</f>
        <v>#DIV/0!</v>
      </c>
      <c r="R15" s="94" t="e">
        <f>IF(ISTEXT($J15),INDEX(VDSL3[Afnameklanten met KM/TT (%)],MATCH($J15,VDSL3[Verdeelsleutel],0))*$P15,"")</f>
        <v>#DIV/0!</v>
      </c>
      <c r="S15" s="95" t="e">
        <f>IF(ISTEXT($H15),INDEX(VDSL1[Injectie (%)],MATCH($H15,VDSL1[Verdeelsleutel],0))*$K15,"")</f>
        <v>#VALUE!</v>
      </c>
      <c r="T15" s="591"/>
      <c r="U15" s="1"/>
      <c r="V15" s="1"/>
      <c r="AG15" s="60"/>
    </row>
    <row r="16" spans="1:33" ht="15" customHeight="1">
      <c r="A16" s="81" t="s">
        <v>88</v>
      </c>
      <c r="B16" s="82" t="s">
        <v>83</v>
      </c>
      <c r="C16" s="82" t="s">
        <v>23</v>
      </c>
      <c r="D16" s="82" t="s">
        <v>27</v>
      </c>
      <c r="E16" s="82" t="s">
        <v>89</v>
      </c>
      <c r="F16" s="82" t="s">
        <v>91</v>
      </c>
      <c r="G16" s="83" t="s">
        <v>227</v>
      </c>
      <c r="H16" s="181" t="s">
        <v>238</v>
      </c>
      <c r="I16" s="182" t="s">
        <v>316</v>
      </c>
      <c r="J16" s="82" t="s">
        <v>318</v>
      </c>
      <c r="K16" s="901"/>
      <c r="L16" s="95" t="e">
        <f>IF(ISTEXT($H16),INDEX(VDSL1[Afname (%)],MATCH($H16,VDSL1[Verdeelsleutel],0))*$K16,"")</f>
        <v>#VALUE!</v>
      </c>
      <c r="M16" s="93" t="e">
        <f>IF(ISTEXT($I16),INDEX(VDSL2[TRHS (%)],MATCH($I16,VDSL2[Verdeelsleutel],0))*$L16,"")</f>
        <v>#DIV/0!</v>
      </c>
      <c r="N16" s="93" t="e">
        <f>IF(ISTEXT($I16),INDEX(VDSL2[MS (%)],MATCH($I16,VDSL2[Verdeelsleutel],0))*$L16,"")</f>
        <v>#DIV/0!</v>
      </c>
      <c r="O16" s="93" t="e">
        <f>IF(ISTEXT($I16),INDEX(VDSL2[TRLS (%)],MATCH($I16,VDSL2[Verdeelsleutel],0))*$L16,"")</f>
        <v>#VALUE!</v>
      </c>
      <c r="P16" s="93" t="e">
        <f>IF(ISTEXT($I16),INDEX(VDSL2[LS (%)],MATCH($I16,VDSL2[Verdeelsleutel],0))*$L16,"")</f>
        <v>#VALUE!</v>
      </c>
      <c r="Q16" s="93" t="e">
        <f>IF(ISTEXT($J16),INDEX(VDSL3[Afnameklanten op LS met piekmeting (%)],MATCH($J16,VDSL3[Verdeelsleutel],0))*$P16,"")</f>
        <v>#DIV/0!</v>
      </c>
      <c r="R16" s="94" t="e">
        <f>IF(ISTEXT($J16),INDEX(VDSL3[Afnameklanten met KM/TT (%)],MATCH($J16,VDSL3[Verdeelsleutel],0))*$P16,"")</f>
        <v>#DIV/0!</v>
      </c>
      <c r="S16" s="95" t="e">
        <f>IF(ISTEXT($H16),INDEX(VDSL1[Injectie (%)],MATCH($H16,VDSL1[Verdeelsleutel],0))*$K16,"")</f>
        <v>#VALUE!</v>
      </c>
      <c r="T16" s="591"/>
      <c r="U16" s="1"/>
      <c r="V16" s="1"/>
      <c r="AG16" s="60"/>
    </row>
    <row r="17" spans="1:33" ht="15" customHeight="1">
      <c r="A17" s="81" t="s">
        <v>88</v>
      </c>
      <c r="B17" s="82" t="s">
        <v>83</v>
      </c>
      <c r="C17" s="82" t="s">
        <v>23</v>
      </c>
      <c r="D17" s="82" t="s">
        <v>27</v>
      </c>
      <c r="E17" s="82" t="s">
        <v>89</v>
      </c>
      <c r="F17" s="82" t="s">
        <v>91</v>
      </c>
      <c r="G17" s="83" t="s">
        <v>31</v>
      </c>
      <c r="H17" s="181" t="s">
        <v>238</v>
      </c>
      <c r="I17" s="182" t="s">
        <v>316</v>
      </c>
      <c r="J17" s="82" t="s">
        <v>318</v>
      </c>
      <c r="K17" s="901"/>
      <c r="L17" s="95" t="e">
        <f>IF(ISTEXT($H17),INDEX(VDSL1[Afname (%)],MATCH($H17,VDSL1[Verdeelsleutel],0))*$K17,"")</f>
        <v>#VALUE!</v>
      </c>
      <c r="M17" s="93" t="e">
        <f>IF(ISTEXT($I17),INDEX(VDSL2[TRHS (%)],MATCH($I17,VDSL2[Verdeelsleutel],0))*$L17,"")</f>
        <v>#DIV/0!</v>
      </c>
      <c r="N17" s="93" t="e">
        <f>IF(ISTEXT($I17),INDEX(VDSL2[MS (%)],MATCH($I17,VDSL2[Verdeelsleutel],0))*$L17,"")</f>
        <v>#DIV/0!</v>
      </c>
      <c r="O17" s="93" t="e">
        <f>IF(ISTEXT($I17),INDEX(VDSL2[TRLS (%)],MATCH($I17,VDSL2[Verdeelsleutel],0))*$L17,"")</f>
        <v>#VALUE!</v>
      </c>
      <c r="P17" s="93" t="e">
        <f>IF(ISTEXT($I17),INDEX(VDSL2[LS (%)],MATCH($I17,VDSL2[Verdeelsleutel],0))*$L17,"")</f>
        <v>#VALUE!</v>
      </c>
      <c r="Q17" s="93" t="e">
        <f>IF(ISTEXT($J17),INDEX(VDSL3[Afnameklanten op LS met piekmeting (%)],MATCH($J17,VDSL3[Verdeelsleutel],0))*$P17,"")</f>
        <v>#DIV/0!</v>
      </c>
      <c r="R17" s="94" t="e">
        <f>IF(ISTEXT($J17),INDEX(VDSL3[Afnameklanten met KM/TT (%)],MATCH($J17,VDSL3[Verdeelsleutel],0))*$P17,"")</f>
        <v>#DIV/0!</v>
      </c>
      <c r="S17" s="95" t="e">
        <f>IF(ISTEXT($H17),INDEX(VDSL1[Injectie (%)],MATCH($H17,VDSL1[Verdeelsleutel],0))*$K17,"")</f>
        <v>#VALUE!</v>
      </c>
      <c r="T17" s="591"/>
      <c r="U17" s="1"/>
      <c r="V17" s="1"/>
      <c r="AG17" s="60"/>
    </row>
    <row r="18" spans="1:33" ht="15" customHeight="1">
      <c r="A18" s="81" t="s">
        <v>88</v>
      </c>
      <c r="B18" s="82" t="s">
        <v>83</v>
      </c>
      <c r="C18" s="82" t="s">
        <v>23</v>
      </c>
      <c r="D18" s="82" t="s">
        <v>27</v>
      </c>
      <c r="E18" s="82" t="s">
        <v>90</v>
      </c>
      <c r="F18" s="82" t="s">
        <v>92</v>
      </c>
      <c r="G18" s="83" t="s">
        <v>156</v>
      </c>
      <c r="H18" s="181" t="s">
        <v>239</v>
      </c>
      <c r="I18" s="182" t="s">
        <v>158</v>
      </c>
      <c r="J18" s="82" t="s">
        <v>14</v>
      </c>
      <c r="K18" s="901"/>
      <c r="L18" s="95">
        <f>IF(ISTEXT($H18),INDEX(VDSL1[Afname (%)],MATCH($H18,VDSL1[Verdeelsleutel],0))*$K18,"")</f>
        <v>0</v>
      </c>
      <c r="M18" s="93" t="e">
        <f>IF(ISTEXT($I18),INDEX(VDSL2[TRHS (%)],MATCH($I18,VDSL2[Verdeelsleutel],0))*$L18,"")</f>
        <v>#DIV/0!</v>
      </c>
      <c r="N18" s="93" t="e">
        <f>IF(ISTEXT($I18),INDEX(VDSL2[MS (%)],MATCH($I18,VDSL2[Verdeelsleutel],0))*$L18,"")</f>
        <v>#DIV/0!</v>
      </c>
      <c r="O18" s="93" t="e">
        <f>IF(ISTEXT($I18),INDEX(VDSL2[TRLS (%)],MATCH($I18,VDSL2[Verdeelsleutel],0))*$L18,"")</f>
        <v>#DIV/0!</v>
      </c>
      <c r="P18" s="93" t="e">
        <f>IF(ISTEXT($I18),INDEX(VDSL2[LS (%)],MATCH($I18,VDSL2[Verdeelsleutel],0))*$L18,"")</f>
        <v>#DIV/0!</v>
      </c>
      <c r="Q18" s="93" t="e">
        <f>IF(ISTEXT($J18),INDEX(VDSL3[Afnameklanten op LS met piekmeting (%)],MATCH($J18,VDSL3[Verdeelsleutel],0))*$P18,"")</f>
        <v>#DIV/0!</v>
      </c>
      <c r="R18" s="94" t="e">
        <f>IF(ISTEXT($J18),INDEX(VDSL3[Afnameklanten met KM/TT (%)],MATCH($J18,VDSL3[Verdeelsleutel],0))*$P18,"")</f>
        <v>#DIV/0!</v>
      </c>
      <c r="S18" s="95">
        <f>IF(ISTEXT($H18),INDEX(VDSL1[Injectie (%)],MATCH($H18,VDSL1[Verdeelsleutel],0))*$K18,"")</f>
        <v>0</v>
      </c>
      <c r="T18" s="591"/>
      <c r="U18" s="1"/>
      <c r="V18" s="1"/>
      <c r="AG18" s="60"/>
    </row>
    <row r="19" spans="1:33" ht="15" customHeight="1">
      <c r="A19" s="81" t="s">
        <v>88</v>
      </c>
      <c r="B19" s="82" t="s">
        <v>83</v>
      </c>
      <c r="C19" s="82" t="s">
        <v>23</v>
      </c>
      <c r="D19" s="82" t="s">
        <v>27</v>
      </c>
      <c r="E19" s="82" t="s">
        <v>90</v>
      </c>
      <c r="F19" s="82" t="s">
        <v>92</v>
      </c>
      <c r="G19" s="83" t="s">
        <v>155</v>
      </c>
      <c r="H19" s="181" t="s">
        <v>239</v>
      </c>
      <c r="I19" s="182" t="s">
        <v>158</v>
      </c>
      <c r="J19" s="82" t="s">
        <v>14</v>
      </c>
      <c r="K19" s="901"/>
      <c r="L19" s="95">
        <f>IF(ISTEXT($H19),INDEX(VDSL1[Afname (%)],MATCH($H19,VDSL1[Verdeelsleutel],0))*$K19,"")</f>
        <v>0</v>
      </c>
      <c r="M19" s="93" t="e">
        <f>IF(ISTEXT($I19),INDEX(VDSL2[TRHS (%)],MATCH($I19,VDSL2[Verdeelsleutel],0))*$L19,"")</f>
        <v>#DIV/0!</v>
      </c>
      <c r="N19" s="93" t="e">
        <f>IF(ISTEXT($I19),INDEX(VDSL2[MS (%)],MATCH($I19,VDSL2[Verdeelsleutel],0))*$L19,"")</f>
        <v>#DIV/0!</v>
      </c>
      <c r="O19" s="93" t="e">
        <f>IF(ISTEXT($I19),INDEX(VDSL2[TRLS (%)],MATCH($I19,VDSL2[Verdeelsleutel],0))*$L19,"")</f>
        <v>#DIV/0!</v>
      </c>
      <c r="P19" s="93" t="e">
        <f>IF(ISTEXT($I19),INDEX(VDSL2[LS (%)],MATCH($I19,VDSL2[Verdeelsleutel],0))*$L19,"")</f>
        <v>#DIV/0!</v>
      </c>
      <c r="Q19" s="93" t="e">
        <f>IF(ISTEXT($J19),INDEX(VDSL3[Afnameklanten op LS met piekmeting (%)],MATCH($J19,VDSL3[Verdeelsleutel],0))*$P19,"")</f>
        <v>#DIV/0!</v>
      </c>
      <c r="R19" s="94" t="e">
        <f>IF(ISTEXT($J19),INDEX(VDSL3[Afnameklanten met KM/TT (%)],MATCH($J19,VDSL3[Verdeelsleutel],0))*$P19,"")</f>
        <v>#DIV/0!</v>
      </c>
      <c r="S19" s="95">
        <f>IF(ISTEXT($H19),INDEX(VDSL1[Injectie (%)],MATCH($H19,VDSL1[Verdeelsleutel],0))*$K19,"")</f>
        <v>0</v>
      </c>
      <c r="T19" s="591"/>
      <c r="U19" s="1"/>
      <c r="V19" s="1"/>
      <c r="AG19" s="60"/>
    </row>
    <row r="20" spans="1:33" ht="15" customHeight="1">
      <c r="A20" s="81" t="s">
        <v>88</v>
      </c>
      <c r="B20" s="82" t="s">
        <v>83</v>
      </c>
      <c r="C20" s="82" t="s">
        <v>23</v>
      </c>
      <c r="D20" s="82" t="s">
        <v>27</v>
      </c>
      <c r="E20" s="82" t="s">
        <v>90</v>
      </c>
      <c r="F20" s="82" t="s">
        <v>92</v>
      </c>
      <c r="G20" s="83" t="s">
        <v>33</v>
      </c>
      <c r="H20" s="181" t="s">
        <v>239</v>
      </c>
      <c r="I20" s="182" t="s">
        <v>14</v>
      </c>
      <c r="J20" s="82" t="s">
        <v>14</v>
      </c>
      <c r="K20" s="901"/>
      <c r="L20" s="95">
        <f>IF(ISTEXT($H20),INDEX(VDSL1[Afname (%)],MATCH($H20,VDSL1[Verdeelsleutel],0))*$K20,"")</f>
        <v>0</v>
      </c>
      <c r="M20" s="93" t="e">
        <f>IF(ISTEXT($I20),INDEX(VDSL2[TRHS (%)],MATCH($I20,VDSL2[Verdeelsleutel],0))*$L20,"")</f>
        <v>#DIV/0!</v>
      </c>
      <c r="N20" s="93" t="e">
        <f>IF(ISTEXT($I20),INDEX(VDSL2[MS (%)],MATCH($I20,VDSL2[Verdeelsleutel],0))*$L20,"")</f>
        <v>#DIV/0!</v>
      </c>
      <c r="O20" s="93" t="e">
        <f>IF(ISTEXT($I20),INDEX(VDSL2[TRLS (%)],MATCH($I20,VDSL2[Verdeelsleutel],0))*$L20,"")</f>
        <v>#DIV/0!</v>
      </c>
      <c r="P20" s="93" t="e">
        <f>IF(ISTEXT($I20),INDEX(VDSL2[LS (%)],MATCH($I20,VDSL2[Verdeelsleutel],0))*$L20,"")</f>
        <v>#DIV/0!</v>
      </c>
      <c r="Q20" s="93" t="e">
        <f>IF(ISTEXT($J20),INDEX(VDSL3[Afnameklanten op LS met piekmeting (%)],MATCH($J20,VDSL3[Verdeelsleutel],0))*$P20,"")</f>
        <v>#DIV/0!</v>
      </c>
      <c r="R20" s="94" t="e">
        <f>IF(ISTEXT($J20),INDEX(VDSL3[Afnameklanten met KM/TT (%)],MATCH($J20,VDSL3[Verdeelsleutel],0))*$P20,"")</f>
        <v>#DIV/0!</v>
      </c>
      <c r="S20" s="95">
        <f>IF(ISTEXT($H20),INDEX(VDSL1[Injectie (%)],MATCH($H20,VDSL1[Verdeelsleutel],0))*$K20,"")</f>
        <v>0</v>
      </c>
      <c r="T20" s="591"/>
      <c r="U20" s="1"/>
      <c r="V20" s="1"/>
      <c r="AG20" s="60"/>
    </row>
    <row r="21" spans="1:33" ht="15" customHeight="1">
      <c r="A21" s="81" t="s">
        <v>88</v>
      </c>
      <c r="B21" s="82" t="s">
        <v>83</v>
      </c>
      <c r="C21" s="82" t="s">
        <v>23</v>
      </c>
      <c r="D21" s="82" t="s">
        <v>27</v>
      </c>
      <c r="E21" s="82" t="s">
        <v>90</v>
      </c>
      <c r="F21" s="82" t="s">
        <v>92</v>
      </c>
      <c r="G21" s="83" t="s">
        <v>34</v>
      </c>
      <c r="H21" s="181" t="s">
        <v>239</v>
      </c>
      <c r="I21" s="182" t="s">
        <v>158</v>
      </c>
      <c r="J21" s="82" t="s">
        <v>14</v>
      </c>
      <c r="K21" s="901"/>
      <c r="L21" s="95">
        <f>IF(ISTEXT($H21),INDEX(VDSL1[Afname (%)],MATCH($H21,VDSL1[Verdeelsleutel],0))*$K21,"")</f>
        <v>0</v>
      </c>
      <c r="M21" s="93" t="e">
        <f>IF(ISTEXT($I21),INDEX(VDSL2[TRHS (%)],MATCH($I21,VDSL2[Verdeelsleutel],0))*$L21,"")</f>
        <v>#DIV/0!</v>
      </c>
      <c r="N21" s="93" t="e">
        <f>IF(ISTEXT($I21),INDEX(VDSL2[MS (%)],MATCH($I21,VDSL2[Verdeelsleutel],0))*$L21,"")</f>
        <v>#DIV/0!</v>
      </c>
      <c r="O21" s="93" t="e">
        <f>IF(ISTEXT($I21),INDEX(VDSL2[TRLS (%)],MATCH($I21,VDSL2[Verdeelsleutel],0))*$L21,"")</f>
        <v>#DIV/0!</v>
      </c>
      <c r="P21" s="93" t="e">
        <f>IF(ISTEXT($I21),INDEX(VDSL2[LS (%)],MATCH($I21,VDSL2[Verdeelsleutel],0))*$L21,"")</f>
        <v>#DIV/0!</v>
      </c>
      <c r="Q21" s="93" t="e">
        <f>IF(ISTEXT($J21),INDEX(VDSL3[Afnameklanten op LS met piekmeting (%)],MATCH($J21,VDSL3[Verdeelsleutel],0))*$P21,"")</f>
        <v>#DIV/0!</v>
      </c>
      <c r="R21" s="94" t="e">
        <f>IF(ISTEXT($J21),INDEX(VDSL3[Afnameklanten met KM/TT (%)],MATCH($J21,VDSL3[Verdeelsleutel],0))*$P21,"")</f>
        <v>#DIV/0!</v>
      </c>
      <c r="S21" s="95">
        <f>IF(ISTEXT($H21),INDEX(VDSL1[Injectie (%)],MATCH($H21,VDSL1[Verdeelsleutel],0))*$K21,"")</f>
        <v>0</v>
      </c>
      <c r="T21" s="591"/>
      <c r="U21" s="1"/>
      <c r="V21" s="1"/>
      <c r="AG21" s="60"/>
    </row>
    <row r="22" spans="1:33" ht="15" customHeight="1">
      <c r="A22" s="81" t="s">
        <v>88</v>
      </c>
      <c r="B22" s="82" t="s">
        <v>83</v>
      </c>
      <c r="C22" s="82" t="s">
        <v>23</v>
      </c>
      <c r="D22" s="82" t="s">
        <v>27</v>
      </c>
      <c r="E22" s="82" t="s">
        <v>90</v>
      </c>
      <c r="F22" s="82" t="s">
        <v>92</v>
      </c>
      <c r="G22" s="83" t="s">
        <v>35</v>
      </c>
      <c r="H22" s="181" t="s">
        <v>14</v>
      </c>
      <c r="I22" s="182" t="s">
        <v>14</v>
      </c>
      <c r="J22" s="82" t="s">
        <v>14</v>
      </c>
      <c r="K22" s="901"/>
      <c r="L22" s="95" t="e">
        <f>IF(ISTEXT($H22),INDEX(VDSL1[Afname (%)],MATCH($H22,VDSL1[Verdeelsleutel],0))*$K22,"")</f>
        <v>#DIV/0!</v>
      </c>
      <c r="M22" s="93" t="e">
        <f>IF(ISTEXT($I22),INDEX(VDSL2[TRHS (%)],MATCH($I22,VDSL2[Verdeelsleutel],0))*$L22,"")</f>
        <v>#DIV/0!</v>
      </c>
      <c r="N22" s="93" t="e">
        <f>IF(ISTEXT($I22),INDEX(VDSL2[MS (%)],MATCH($I22,VDSL2[Verdeelsleutel],0))*$L22,"")</f>
        <v>#DIV/0!</v>
      </c>
      <c r="O22" s="93" t="e">
        <f>IF(ISTEXT($I22),INDEX(VDSL2[TRLS (%)],MATCH($I22,VDSL2[Verdeelsleutel],0))*$L22,"")</f>
        <v>#DIV/0!</v>
      </c>
      <c r="P22" s="93" t="e">
        <f>IF(ISTEXT($I22),INDEX(VDSL2[LS (%)],MATCH($I22,VDSL2[Verdeelsleutel],0))*$L22,"")</f>
        <v>#DIV/0!</v>
      </c>
      <c r="Q22" s="93" t="e">
        <f>IF(ISTEXT($J22),INDEX(VDSL3[Afnameklanten op LS met piekmeting (%)],MATCH($J22,VDSL3[Verdeelsleutel],0))*$P22,"")</f>
        <v>#DIV/0!</v>
      </c>
      <c r="R22" s="94" t="e">
        <f>IF(ISTEXT($J22),INDEX(VDSL3[Afnameklanten met KM/TT (%)],MATCH($J22,VDSL3[Verdeelsleutel],0))*$P22,"")</f>
        <v>#DIV/0!</v>
      </c>
      <c r="S22" s="95" t="e">
        <f>IF(ISTEXT($H22),INDEX(VDSL1[Injectie (%)],MATCH($H22,VDSL1[Verdeelsleutel],0))*$K22,"")</f>
        <v>#DIV/0!</v>
      </c>
      <c r="T22" s="591"/>
      <c r="U22" s="1"/>
      <c r="V22" s="1"/>
      <c r="AG22" s="60"/>
    </row>
    <row r="23" spans="1:33" ht="15" customHeight="1">
      <c r="A23" s="81" t="s">
        <v>88</v>
      </c>
      <c r="B23" s="82" t="s">
        <v>83</v>
      </c>
      <c r="C23" s="82" t="s">
        <v>23</v>
      </c>
      <c r="D23" s="82" t="s">
        <v>72</v>
      </c>
      <c r="E23" s="82" t="s">
        <v>89</v>
      </c>
      <c r="F23" s="82" t="s">
        <v>91</v>
      </c>
      <c r="G23" s="83" t="s">
        <v>263</v>
      </c>
      <c r="H23" s="181" t="s">
        <v>238</v>
      </c>
      <c r="I23" s="182" t="s">
        <v>315</v>
      </c>
      <c r="J23" s="82" t="s">
        <v>318</v>
      </c>
      <c r="K23" s="901"/>
      <c r="L23" s="95" t="e">
        <f>IF(ISTEXT($H23),INDEX(VDSL1[Afname (%)],MATCH($H23,VDSL1[Verdeelsleutel],0))*$K23,"")</f>
        <v>#VALUE!</v>
      </c>
      <c r="M23" s="93" t="e">
        <f>IF(ISTEXT($I23),INDEX(VDSL2[TRHS (%)],MATCH($I23,VDSL2[Verdeelsleutel],0))*$L23,"")</f>
        <v>#DIV/0!</v>
      </c>
      <c r="N23" s="93" t="e">
        <f>IF(ISTEXT($I23),INDEX(VDSL2[MS (%)],MATCH($I23,VDSL2[Verdeelsleutel],0))*$L23,"")</f>
        <v>#VALUE!</v>
      </c>
      <c r="O23" s="93" t="e">
        <f>IF(ISTEXT($I23),INDEX(VDSL2[TRLS (%)],MATCH($I23,VDSL2[Verdeelsleutel],0))*$L23,"")</f>
        <v>#VALUE!</v>
      </c>
      <c r="P23" s="93" t="e">
        <f>IF(ISTEXT($I23),INDEX(VDSL2[LS (%)],MATCH($I23,VDSL2[Verdeelsleutel],0))*$L23,"")</f>
        <v>#VALUE!</v>
      </c>
      <c r="Q23" s="93" t="e">
        <f>IF(ISTEXT($J23),INDEX(VDSL3[Afnameklanten op LS met piekmeting (%)],MATCH($J23,VDSL3[Verdeelsleutel],0))*$P23,"")</f>
        <v>#DIV/0!</v>
      </c>
      <c r="R23" s="94" t="e">
        <f>IF(ISTEXT($J23),INDEX(VDSL3[Afnameklanten met KM/TT (%)],MATCH($J23,VDSL3[Verdeelsleutel],0))*$P23,"")</f>
        <v>#DIV/0!</v>
      </c>
      <c r="S23" s="95" t="e">
        <f>IF(ISTEXT($H23),INDEX(VDSL1[Injectie (%)],MATCH($H23,VDSL1[Verdeelsleutel],0))*$K23,"")</f>
        <v>#VALUE!</v>
      </c>
      <c r="T23" s="591"/>
      <c r="U23" s="1"/>
      <c r="V23" s="1"/>
      <c r="AG23" s="60"/>
    </row>
    <row r="24" spans="1:33" ht="15" customHeight="1">
      <c r="A24" s="81" t="s">
        <v>88</v>
      </c>
      <c r="B24" s="82" t="s">
        <v>83</v>
      </c>
      <c r="C24" s="82" t="s">
        <v>23</v>
      </c>
      <c r="D24" s="82" t="s">
        <v>72</v>
      </c>
      <c r="E24" s="82" t="s">
        <v>89</v>
      </c>
      <c r="F24" s="82" t="s">
        <v>91</v>
      </c>
      <c r="G24" s="83" t="s">
        <v>262</v>
      </c>
      <c r="H24" s="181" t="s">
        <v>238</v>
      </c>
      <c r="I24" s="182" t="s">
        <v>315</v>
      </c>
      <c r="J24" s="82" t="s">
        <v>318</v>
      </c>
      <c r="K24" s="901"/>
      <c r="L24" s="95" t="e">
        <f>IF(ISTEXT($H24),INDEX(VDSL1[Afname (%)],MATCH($H24,VDSL1[Verdeelsleutel],0))*$K24,"")</f>
        <v>#VALUE!</v>
      </c>
      <c r="M24" s="93" t="e">
        <f>IF(ISTEXT($I24),INDEX(VDSL2[TRHS (%)],MATCH($I24,VDSL2[Verdeelsleutel],0))*$L24,"")</f>
        <v>#DIV/0!</v>
      </c>
      <c r="N24" s="93" t="e">
        <f>IF(ISTEXT($I24),INDEX(VDSL2[MS (%)],MATCH($I24,VDSL2[Verdeelsleutel],0))*$L24,"")</f>
        <v>#VALUE!</v>
      </c>
      <c r="O24" s="93" t="e">
        <f>IF(ISTEXT($I24),INDEX(VDSL2[TRLS (%)],MATCH($I24,VDSL2[Verdeelsleutel],0))*$L24,"")</f>
        <v>#VALUE!</v>
      </c>
      <c r="P24" s="93" t="e">
        <f>IF(ISTEXT($I24),INDEX(VDSL2[LS (%)],MATCH($I24,VDSL2[Verdeelsleutel],0))*$L24,"")</f>
        <v>#VALUE!</v>
      </c>
      <c r="Q24" s="93" t="e">
        <f>IF(ISTEXT($J24),INDEX(VDSL3[Afnameklanten op LS met piekmeting (%)],MATCH($J24,VDSL3[Verdeelsleutel],0))*$P24,"")</f>
        <v>#DIV/0!</v>
      </c>
      <c r="R24" s="94" t="e">
        <f>IF(ISTEXT($J24),INDEX(VDSL3[Afnameklanten met KM/TT (%)],MATCH($J24,VDSL3[Verdeelsleutel],0))*$P24,"")</f>
        <v>#DIV/0!</v>
      </c>
      <c r="S24" s="95" t="e">
        <f>IF(ISTEXT($H24),INDEX(VDSL1[Injectie (%)],MATCH($H24,VDSL1[Verdeelsleutel],0))*$K24,"")</f>
        <v>#VALUE!</v>
      </c>
      <c r="T24" s="591"/>
      <c r="U24" s="1"/>
      <c r="V24" s="1"/>
      <c r="AG24" s="60"/>
    </row>
    <row r="25" spans="1:33" ht="15" customHeight="1">
      <c r="A25" s="81" t="s">
        <v>88</v>
      </c>
      <c r="B25" s="82" t="s">
        <v>83</v>
      </c>
      <c r="C25" s="82" t="s">
        <v>23</v>
      </c>
      <c r="D25" s="82" t="s">
        <v>72</v>
      </c>
      <c r="E25" s="82" t="s">
        <v>89</v>
      </c>
      <c r="F25" s="82" t="s">
        <v>91</v>
      </c>
      <c r="G25" s="83" t="s">
        <v>44</v>
      </c>
      <c r="H25" s="181" t="s">
        <v>238</v>
      </c>
      <c r="I25" s="182" t="s">
        <v>317</v>
      </c>
      <c r="J25" s="82" t="s">
        <v>318</v>
      </c>
      <c r="K25" s="901"/>
      <c r="L25" s="95" t="e">
        <f>IF(ISTEXT($H25),INDEX(VDSL1[Afname (%)],MATCH($H25,VDSL1[Verdeelsleutel],0))*$K25,"")</f>
        <v>#VALUE!</v>
      </c>
      <c r="M25" s="93" t="e">
        <f>IF(ISTEXT($I25),INDEX(VDSL2[TRHS (%)],MATCH($I25,VDSL2[Verdeelsleutel],0))*$L25,"")</f>
        <v>#DIV/0!</v>
      </c>
      <c r="N25" s="93" t="e">
        <f>IF(ISTEXT($I25),INDEX(VDSL2[MS (%)],MATCH($I25,VDSL2[Verdeelsleutel],0))*$L25,"")</f>
        <v>#DIV/0!</v>
      </c>
      <c r="O25" s="93" t="e">
        <f>IF(ISTEXT($I25),INDEX(VDSL2[TRLS (%)],MATCH($I25,VDSL2[Verdeelsleutel],0))*$L25,"")</f>
        <v>#DIV/0!</v>
      </c>
      <c r="P25" s="93" t="e">
        <f>IF(ISTEXT($I25),INDEX(VDSL2[LS (%)],MATCH($I25,VDSL2[Verdeelsleutel],0))*$L25,"")</f>
        <v>#VALUE!</v>
      </c>
      <c r="Q25" s="93" t="e">
        <f>IF(ISTEXT($J25),INDEX(VDSL3[Afnameklanten op LS met piekmeting (%)],MATCH($J25,VDSL3[Verdeelsleutel],0))*$P25,"")</f>
        <v>#DIV/0!</v>
      </c>
      <c r="R25" s="94" t="e">
        <f>IF(ISTEXT($J25),INDEX(VDSL3[Afnameklanten met KM/TT (%)],MATCH($J25,VDSL3[Verdeelsleutel],0))*$P25,"")</f>
        <v>#DIV/0!</v>
      </c>
      <c r="S25" s="95" t="e">
        <f>IF(ISTEXT($H25),INDEX(VDSL1[Injectie (%)],MATCH($H25,VDSL1[Verdeelsleutel],0))*$K25,"")</f>
        <v>#VALUE!</v>
      </c>
      <c r="T25" s="591"/>
      <c r="U25" s="1"/>
      <c r="V25" s="1"/>
      <c r="AG25" s="60"/>
    </row>
    <row r="26" spans="1:33" ht="15" customHeight="1">
      <c r="A26" s="81" t="s">
        <v>88</v>
      </c>
      <c r="B26" s="82" t="s">
        <v>83</v>
      </c>
      <c r="C26" s="82" t="s">
        <v>23</v>
      </c>
      <c r="D26" s="82" t="s">
        <v>72</v>
      </c>
      <c r="E26" s="82" t="s">
        <v>89</v>
      </c>
      <c r="F26" s="82" t="s">
        <v>91</v>
      </c>
      <c r="G26" s="83" t="s">
        <v>43</v>
      </c>
      <c r="H26" s="181" t="s">
        <v>238</v>
      </c>
      <c r="I26" s="182" t="s">
        <v>317</v>
      </c>
      <c r="J26" s="82" t="s">
        <v>318</v>
      </c>
      <c r="K26" s="901"/>
      <c r="L26" s="95" t="e">
        <f>IF(ISTEXT($H26),INDEX(VDSL1[Afname (%)],MATCH($H26,VDSL1[Verdeelsleutel],0))*$K26,"")</f>
        <v>#VALUE!</v>
      </c>
      <c r="M26" s="93" t="e">
        <f>IF(ISTEXT($I26),INDEX(VDSL2[TRHS (%)],MATCH($I26,VDSL2[Verdeelsleutel],0))*$L26,"")</f>
        <v>#DIV/0!</v>
      </c>
      <c r="N26" s="93" t="e">
        <f>IF(ISTEXT($I26),INDEX(VDSL2[MS (%)],MATCH($I26,VDSL2[Verdeelsleutel],0))*$L26,"")</f>
        <v>#DIV/0!</v>
      </c>
      <c r="O26" s="93" t="e">
        <f>IF(ISTEXT($I26),INDEX(VDSL2[TRLS (%)],MATCH($I26,VDSL2[Verdeelsleutel],0))*$L26,"")</f>
        <v>#DIV/0!</v>
      </c>
      <c r="P26" s="93" t="e">
        <f>IF(ISTEXT($I26),INDEX(VDSL2[LS (%)],MATCH($I26,VDSL2[Verdeelsleutel],0))*$L26,"")</f>
        <v>#VALUE!</v>
      </c>
      <c r="Q26" s="93" t="e">
        <f>IF(ISTEXT($J26),INDEX(VDSL3[Afnameklanten op LS met piekmeting (%)],MATCH($J26,VDSL3[Verdeelsleutel],0))*$P26,"")</f>
        <v>#DIV/0!</v>
      </c>
      <c r="R26" s="94" t="e">
        <f>IF(ISTEXT($J26),INDEX(VDSL3[Afnameklanten met KM/TT (%)],MATCH($J26,VDSL3[Verdeelsleutel],0))*$P26,"")</f>
        <v>#DIV/0!</v>
      </c>
      <c r="S26" s="95" t="e">
        <f>IF(ISTEXT($H26),INDEX(VDSL1[Injectie (%)],MATCH($H26,VDSL1[Verdeelsleutel],0))*$K26,"")</f>
        <v>#VALUE!</v>
      </c>
      <c r="T26" s="591"/>
      <c r="U26" s="1"/>
      <c r="V26" s="1"/>
      <c r="AG26" s="60"/>
    </row>
    <row r="27" spans="1:33" ht="15" customHeight="1">
      <c r="A27" s="81" t="s">
        <v>88</v>
      </c>
      <c r="B27" s="82" t="s">
        <v>83</v>
      </c>
      <c r="C27" s="82" t="s">
        <v>23</v>
      </c>
      <c r="D27" s="82" t="s">
        <v>72</v>
      </c>
      <c r="E27" s="82" t="s">
        <v>89</v>
      </c>
      <c r="F27" s="82" t="s">
        <v>91</v>
      </c>
      <c r="G27" s="83" t="s">
        <v>40</v>
      </c>
      <c r="H27" s="181" t="s">
        <v>238</v>
      </c>
      <c r="I27" s="182" t="s">
        <v>315</v>
      </c>
      <c r="J27" s="82" t="s">
        <v>318</v>
      </c>
      <c r="K27" s="901"/>
      <c r="L27" s="95" t="e">
        <f>IF(ISTEXT($H27),INDEX(VDSL1[Afname (%)],MATCH($H27,VDSL1[Verdeelsleutel],0))*$K27,"")</f>
        <v>#VALUE!</v>
      </c>
      <c r="M27" s="93" t="e">
        <f>IF(ISTEXT($I27),INDEX(VDSL2[TRHS (%)],MATCH($I27,VDSL2[Verdeelsleutel],0))*$L27,"")</f>
        <v>#DIV/0!</v>
      </c>
      <c r="N27" s="93" t="e">
        <f>IF(ISTEXT($I27),INDEX(VDSL2[MS (%)],MATCH($I27,VDSL2[Verdeelsleutel],0))*$L27,"")</f>
        <v>#VALUE!</v>
      </c>
      <c r="O27" s="93" t="e">
        <f>IF(ISTEXT($I27),INDEX(VDSL2[TRLS (%)],MATCH($I27,VDSL2[Verdeelsleutel],0))*$L27,"")</f>
        <v>#VALUE!</v>
      </c>
      <c r="P27" s="93" t="e">
        <f>IF(ISTEXT($I27),INDEX(VDSL2[LS (%)],MATCH($I27,VDSL2[Verdeelsleutel],0))*$L27,"")</f>
        <v>#VALUE!</v>
      </c>
      <c r="Q27" s="93" t="e">
        <f>IF(ISTEXT($J27),INDEX(VDSL3[Afnameklanten op LS met piekmeting (%)],MATCH($J27,VDSL3[Verdeelsleutel],0))*$P27,"")</f>
        <v>#DIV/0!</v>
      </c>
      <c r="R27" s="94" t="e">
        <f>IF(ISTEXT($J27),INDEX(VDSL3[Afnameklanten met KM/TT (%)],MATCH($J27,VDSL3[Verdeelsleutel],0))*$P27,"")</f>
        <v>#DIV/0!</v>
      </c>
      <c r="S27" s="95" t="e">
        <f>IF(ISTEXT($H27),INDEX(VDSL1[Injectie (%)],MATCH($H27,VDSL1[Verdeelsleutel],0))*$K27,"")</f>
        <v>#VALUE!</v>
      </c>
      <c r="T27" s="591"/>
      <c r="U27" s="1"/>
      <c r="V27" s="1"/>
      <c r="AG27" s="60"/>
    </row>
    <row r="28" spans="1:33" ht="15" customHeight="1">
      <c r="A28" s="81" t="s">
        <v>88</v>
      </c>
      <c r="B28" s="82" t="s">
        <v>83</v>
      </c>
      <c r="C28" s="82" t="s">
        <v>23</v>
      </c>
      <c r="D28" s="82" t="s">
        <v>72</v>
      </c>
      <c r="E28" s="82" t="s">
        <v>89</v>
      </c>
      <c r="F28" s="82" t="s">
        <v>91</v>
      </c>
      <c r="G28" s="83" t="s">
        <v>39</v>
      </c>
      <c r="H28" s="181" t="s">
        <v>238</v>
      </c>
      <c r="I28" s="182" t="s">
        <v>315</v>
      </c>
      <c r="J28" s="82" t="s">
        <v>318</v>
      </c>
      <c r="K28" s="901"/>
      <c r="L28" s="95" t="e">
        <f>IF(ISTEXT($H28),INDEX(VDSL1[Afname (%)],MATCH($H28,VDSL1[Verdeelsleutel],0))*$K28,"")</f>
        <v>#VALUE!</v>
      </c>
      <c r="M28" s="93" t="e">
        <f>IF(ISTEXT($I28),INDEX(VDSL2[TRHS (%)],MATCH($I28,VDSL2[Verdeelsleutel],0))*$L28,"")</f>
        <v>#DIV/0!</v>
      </c>
      <c r="N28" s="93" t="e">
        <f>IF(ISTEXT($I28),INDEX(VDSL2[MS (%)],MATCH($I28,VDSL2[Verdeelsleutel],0))*$L28,"")</f>
        <v>#VALUE!</v>
      </c>
      <c r="O28" s="93" t="e">
        <f>IF(ISTEXT($I28),INDEX(VDSL2[TRLS (%)],MATCH($I28,VDSL2[Verdeelsleutel],0))*$L28,"")</f>
        <v>#VALUE!</v>
      </c>
      <c r="P28" s="93" t="e">
        <f>IF(ISTEXT($I28),INDEX(VDSL2[LS (%)],MATCH($I28,VDSL2[Verdeelsleutel],0))*$L28,"")</f>
        <v>#VALUE!</v>
      </c>
      <c r="Q28" s="93" t="e">
        <f>IF(ISTEXT($J28),INDEX(VDSL3[Afnameklanten op LS met piekmeting (%)],MATCH($J28,VDSL3[Verdeelsleutel],0))*$P28,"")</f>
        <v>#DIV/0!</v>
      </c>
      <c r="R28" s="94" t="e">
        <f>IF(ISTEXT($J28),INDEX(VDSL3[Afnameklanten met KM/TT (%)],MATCH($J28,VDSL3[Verdeelsleutel],0))*$P28,"")</f>
        <v>#DIV/0!</v>
      </c>
      <c r="S28" s="95" t="e">
        <f>IF(ISTEXT($H28),INDEX(VDSL1[Injectie (%)],MATCH($H28,VDSL1[Verdeelsleutel],0))*$K28,"")</f>
        <v>#VALUE!</v>
      </c>
      <c r="T28" s="591"/>
      <c r="U28" s="1"/>
      <c r="V28" s="1"/>
      <c r="AG28" s="60"/>
    </row>
    <row r="29" spans="1:33" ht="15" customHeight="1">
      <c r="A29" s="81" t="s">
        <v>88</v>
      </c>
      <c r="B29" s="82" t="s">
        <v>83</v>
      </c>
      <c r="C29" s="82" t="s">
        <v>23</v>
      </c>
      <c r="D29" s="82" t="s">
        <v>72</v>
      </c>
      <c r="E29" s="82" t="s">
        <v>89</v>
      </c>
      <c r="F29" s="82" t="s">
        <v>91</v>
      </c>
      <c r="G29" s="83" t="s">
        <v>38</v>
      </c>
      <c r="H29" s="181" t="s">
        <v>238</v>
      </c>
      <c r="I29" s="182" t="s">
        <v>314</v>
      </c>
      <c r="J29" s="82" t="s">
        <v>318</v>
      </c>
      <c r="K29" s="901"/>
      <c r="L29" s="95" t="e">
        <f>IF(ISTEXT($H29),INDEX(VDSL1[Afname (%)],MATCH($H29,VDSL1[Verdeelsleutel],0))*$K29,"")</f>
        <v>#VALUE!</v>
      </c>
      <c r="M29" s="93" t="e">
        <f>IF(ISTEXT($I29),INDEX(VDSL2[TRHS (%)],MATCH($I29,VDSL2[Verdeelsleutel],0))*$L29,"")</f>
        <v>#VALUE!</v>
      </c>
      <c r="N29" s="93" t="e">
        <f>IF(ISTEXT($I29),INDEX(VDSL2[MS (%)],MATCH($I29,VDSL2[Verdeelsleutel],0))*$L29,"")</f>
        <v>#VALUE!</v>
      </c>
      <c r="O29" s="93" t="e">
        <f>IF(ISTEXT($I29),INDEX(VDSL2[TRLS (%)],MATCH($I29,VDSL2[Verdeelsleutel],0))*$L29,"")</f>
        <v>#VALUE!</v>
      </c>
      <c r="P29" s="93" t="e">
        <f>IF(ISTEXT($I29),INDEX(VDSL2[LS (%)],MATCH($I29,VDSL2[Verdeelsleutel],0))*$L29,"")</f>
        <v>#VALUE!</v>
      </c>
      <c r="Q29" s="93" t="e">
        <f>IF(ISTEXT($J29),INDEX(VDSL3[Afnameklanten op LS met piekmeting (%)],MATCH($J29,VDSL3[Verdeelsleutel],0))*$P29,"")</f>
        <v>#DIV/0!</v>
      </c>
      <c r="R29" s="94" t="e">
        <f>IF(ISTEXT($J29),INDEX(VDSL3[Afnameklanten met KM/TT (%)],MATCH($J29,VDSL3[Verdeelsleutel],0))*$P29,"")</f>
        <v>#DIV/0!</v>
      </c>
      <c r="S29" s="95" t="e">
        <f>IF(ISTEXT($H29),INDEX(VDSL1[Injectie (%)],MATCH($H29,VDSL1[Verdeelsleutel],0))*$K29,"")</f>
        <v>#VALUE!</v>
      </c>
      <c r="T29" s="591"/>
      <c r="U29" s="1"/>
      <c r="V29" s="1"/>
      <c r="AG29" s="60"/>
    </row>
    <row r="30" spans="1:33" ht="15" customHeight="1">
      <c r="A30" s="81" t="s">
        <v>88</v>
      </c>
      <c r="B30" s="82" t="s">
        <v>83</v>
      </c>
      <c r="C30" s="82" t="s">
        <v>23</v>
      </c>
      <c r="D30" s="82" t="s">
        <v>72</v>
      </c>
      <c r="E30" s="82" t="s">
        <v>89</v>
      </c>
      <c r="F30" s="82" t="s">
        <v>91</v>
      </c>
      <c r="G30" s="83" t="s">
        <v>37</v>
      </c>
      <c r="H30" s="181" t="s">
        <v>238</v>
      </c>
      <c r="I30" s="182" t="s">
        <v>314</v>
      </c>
      <c r="J30" s="82" t="s">
        <v>318</v>
      </c>
      <c r="K30" s="901"/>
      <c r="L30" s="95" t="e">
        <f>IF(ISTEXT($H30),INDEX(VDSL1[Afname (%)],MATCH($H30,VDSL1[Verdeelsleutel],0))*$K30,"")</f>
        <v>#VALUE!</v>
      </c>
      <c r="M30" s="93" t="e">
        <f>IF(ISTEXT($I30),INDEX(VDSL2[TRHS (%)],MATCH($I30,VDSL2[Verdeelsleutel],0))*$L30,"")</f>
        <v>#VALUE!</v>
      </c>
      <c r="N30" s="93" t="e">
        <f>IF(ISTEXT($I30),INDEX(VDSL2[MS (%)],MATCH($I30,VDSL2[Verdeelsleutel],0))*$L30,"")</f>
        <v>#VALUE!</v>
      </c>
      <c r="O30" s="93" t="e">
        <f>IF(ISTEXT($I30),INDEX(VDSL2[TRLS (%)],MATCH($I30,VDSL2[Verdeelsleutel],0))*$L30,"")</f>
        <v>#VALUE!</v>
      </c>
      <c r="P30" s="93" t="e">
        <f>IF(ISTEXT($I30),INDEX(VDSL2[LS (%)],MATCH($I30,VDSL2[Verdeelsleutel],0))*$L30,"")</f>
        <v>#VALUE!</v>
      </c>
      <c r="Q30" s="93" t="e">
        <f>IF(ISTEXT($J30),INDEX(VDSL3[Afnameklanten op LS met piekmeting (%)],MATCH($J30,VDSL3[Verdeelsleutel],0))*$P30,"")</f>
        <v>#DIV/0!</v>
      </c>
      <c r="R30" s="94" t="e">
        <f>IF(ISTEXT($J30),INDEX(VDSL3[Afnameklanten met KM/TT (%)],MATCH($J30,VDSL3[Verdeelsleutel],0))*$P30,"")</f>
        <v>#DIV/0!</v>
      </c>
      <c r="S30" s="95" t="e">
        <f>IF(ISTEXT($H30),INDEX(VDSL1[Injectie (%)],MATCH($H30,VDSL1[Verdeelsleutel],0))*$K30,"")</f>
        <v>#VALUE!</v>
      </c>
      <c r="T30" s="591"/>
      <c r="U30" s="1"/>
      <c r="V30" s="1"/>
      <c r="AG30" s="60"/>
    </row>
    <row r="31" spans="1:33" ht="15" customHeight="1">
      <c r="A31" s="81" t="s">
        <v>88</v>
      </c>
      <c r="B31" s="82" t="s">
        <v>83</v>
      </c>
      <c r="C31" s="82" t="s">
        <v>23</v>
      </c>
      <c r="D31" s="82" t="s">
        <v>72</v>
      </c>
      <c r="E31" s="82" t="s">
        <v>89</v>
      </c>
      <c r="F31" s="82" t="s">
        <v>91</v>
      </c>
      <c r="G31" s="83" t="s">
        <v>42</v>
      </c>
      <c r="H31" s="181" t="s">
        <v>238</v>
      </c>
      <c r="I31" s="182" t="s">
        <v>316</v>
      </c>
      <c r="J31" s="82" t="s">
        <v>318</v>
      </c>
      <c r="K31" s="901"/>
      <c r="L31" s="95" t="e">
        <f>IF(ISTEXT($H31),INDEX(VDSL1[Afname (%)],MATCH($H31,VDSL1[Verdeelsleutel],0))*$K31,"")</f>
        <v>#VALUE!</v>
      </c>
      <c r="M31" s="93" t="e">
        <f>IF(ISTEXT($I31),INDEX(VDSL2[TRHS (%)],MATCH($I31,VDSL2[Verdeelsleutel],0))*$L31,"")</f>
        <v>#DIV/0!</v>
      </c>
      <c r="N31" s="93" t="e">
        <f>IF(ISTEXT($I31),INDEX(VDSL2[MS (%)],MATCH($I31,VDSL2[Verdeelsleutel],0))*$L31,"")</f>
        <v>#DIV/0!</v>
      </c>
      <c r="O31" s="93" t="e">
        <f>IF(ISTEXT($I31),INDEX(VDSL2[TRLS (%)],MATCH($I31,VDSL2[Verdeelsleutel],0))*$L31,"")</f>
        <v>#VALUE!</v>
      </c>
      <c r="P31" s="93" t="e">
        <f>IF(ISTEXT($I31),INDEX(VDSL2[LS (%)],MATCH($I31,VDSL2[Verdeelsleutel],0))*$L31,"")</f>
        <v>#VALUE!</v>
      </c>
      <c r="Q31" s="93" t="e">
        <f>IF(ISTEXT($J31),INDEX(VDSL3[Afnameklanten op LS met piekmeting (%)],MATCH($J31,VDSL3[Verdeelsleutel],0))*$P31,"")</f>
        <v>#DIV/0!</v>
      </c>
      <c r="R31" s="94" t="e">
        <f>IF(ISTEXT($J31),INDEX(VDSL3[Afnameklanten met KM/TT (%)],MATCH($J31,VDSL3[Verdeelsleutel],0))*$P31,"")</f>
        <v>#DIV/0!</v>
      </c>
      <c r="S31" s="95" t="e">
        <f>IF(ISTEXT($H31),INDEX(VDSL1[Injectie (%)],MATCH($H31,VDSL1[Verdeelsleutel],0))*$K31,"")</f>
        <v>#VALUE!</v>
      </c>
      <c r="T31" s="591"/>
      <c r="U31" s="1"/>
      <c r="V31" s="1"/>
      <c r="AG31" s="60"/>
    </row>
    <row r="32" spans="1:33" ht="15" customHeight="1">
      <c r="A32" s="81" t="s">
        <v>88</v>
      </c>
      <c r="B32" s="82" t="s">
        <v>83</v>
      </c>
      <c r="C32" s="82" t="s">
        <v>23</v>
      </c>
      <c r="D32" s="82" t="s">
        <v>72</v>
      </c>
      <c r="E32" s="82" t="s">
        <v>89</v>
      </c>
      <c r="F32" s="82" t="s">
        <v>91</v>
      </c>
      <c r="G32" s="83" t="s">
        <v>41</v>
      </c>
      <c r="H32" s="181" t="s">
        <v>238</v>
      </c>
      <c r="I32" s="182" t="s">
        <v>316</v>
      </c>
      <c r="J32" s="82" t="s">
        <v>318</v>
      </c>
      <c r="K32" s="901"/>
      <c r="L32" s="95" t="e">
        <f>IF(ISTEXT($H32),INDEX(VDSL1[Afname (%)],MATCH($H32,VDSL1[Verdeelsleutel],0))*$K32,"")</f>
        <v>#VALUE!</v>
      </c>
      <c r="M32" s="93" t="e">
        <f>IF(ISTEXT($I32),INDEX(VDSL2[TRHS (%)],MATCH($I32,VDSL2[Verdeelsleutel],0))*$L32,"")</f>
        <v>#DIV/0!</v>
      </c>
      <c r="N32" s="93" t="e">
        <f>IF(ISTEXT($I32),INDEX(VDSL2[MS (%)],MATCH($I32,VDSL2[Verdeelsleutel],0))*$L32,"")</f>
        <v>#DIV/0!</v>
      </c>
      <c r="O32" s="93" t="e">
        <f>IF(ISTEXT($I32),INDEX(VDSL2[TRLS (%)],MATCH($I32,VDSL2[Verdeelsleutel],0))*$L32,"")</f>
        <v>#VALUE!</v>
      </c>
      <c r="P32" s="93" t="e">
        <f>IF(ISTEXT($I32),INDEX(VDSL2[LS (%)],MATCH($I32,VDSL2[Verdeelsleutel],0))*$L32,"")</f>
        <v>#VALUE!</v>
      </c>
      <c r="Q32" s="93" t="e">
        <f>IF(ISTEXT($J32),INDEX(VDSL3[Afnameklanten op LS met piekmeting (%)],MATCH($J32,VDSL3[Verdeelsleutel],0))*$P32,"")</f>
        <v>#DIV/0!</v>
      </c>
      <c r="R32" s="94" t="e">
        <f>IF(ISTEXT($J32),INDEX(VDSL3[Afnameklanten met KM/TT (%)],MATCH($J32,VDSL3[Verdeelsleutel],0))*$P32,"")</f>
        <v>#DIV/0!</v>
      </c>
      <c r="S32" s="95" t="e">
        <f>IF(ISTEXT($H32),INDEX(VDSL1[Injectie (%)],MATCH($H32,VDSL1[Verdeelsleutel],0))*$K32,"")</f>
        <v>#VALUE!</v>
      </c>
      <c r="T32" s="591"/>
      <c r="U32" s="1"/>
      <c r="V32" s="1"/>
      <c r="AG32" s="60"/>
    </row>
    <row r="33" spans="1:33" ht="15" customHeight="1">
      <c r="A33" s="81" t="s">
        <v>88</v>
      </c>
      <c r="B33" s="82" t="s">
        <v>83</v>
      </c>
      <c r="C33" s="82" t="s">
        <v>23</v>
      </c>
      <c r="D33" s="82" t="s">
        <v>72</v>
      </c>
      <c r="E33" s="82" t="s">
        <v>89</v>
      </c>
      <c r="F33" s="82" t="s">
        <v>92</v>
      </c>
      <c r="G33" s="379" t="s">
        <v>51</v>
      </c>
      <c r="H33" s="181" t="s">
        <v>239</v>
      </c>
      <c r="I33" s="182" t="s">
        <v>15</v>
      </c>
      <c r="J33" s="82" t="s">
        <v>14</v>
      </c>
      <c r="K33" s="901"/>
      <c r="L33" s="95">
        <f>IF(ISTEXT($H33),INDEX(VDSL1[Afname (%)],MATCH($H33,VDSL1[Verdeelsleutel],0))*$K33,"")</f>
        <v>0</v>
      </c>
      <c r="M33" s="93" t="e">
        <f>IF(ISTEXT($I33),INDEX(VDSL2[TRHS (%)],MATCH($I33,VDSL2[Verdeelsleutel],0))*$L33,"")</f>
        <v>#VALUE!</v>
      </c>
      <c r="N33" s="93" t="e">
        <f>IF(ISTEXT($I33),INDEX(VDSL2[MS (%)],MATCH($I33,VDSL2[Verdeelsleutel],0))*$L33,"")</f>
        <v>#VALUE!</v>
      </c>
      <c r="O33" s="93" t="e">
        <f>IF(ISTEXT($I33),INDEX(VDSL2[TRLS (%)],MATCH($I33,VDSL2[Verdeelsleutel],0))*$L33,"")</f>
        <v>#VALUE!</v>
      </c>
      <c r="P33" s="93" t="e">
        <f>IF(ISTEXT($I33),INDEX(VDSL2[LS (%)],MATCH($I33,VDSL2[Verdeelsleutel],0))*$L33,"")</f>
        <v>#VALUE!</v>
      </c>
      <c r="Q33" s="93" t="e">
        <f>IF(ISTEXT($J33),INDEX(VDSL3[Afnameklanten op LS met piekmeting (%)],MATCH($J33,VDSL3[Verdeelsleutel],0))*$P33,"")</f>
        <v>#DIV/0!</v>
      </c>
      <c r="R33" s="94" t="e">
        <f>IF(ISTEXT($J33),INDEX(VDSL3[Afnameklanten met KM/TT (%)],MATCH($J33,VDSL3[Verdeelsleutel],0))*$P33,"")</f>
        <v>#DIV/0!</v>
      </c>
      <c r="S33" s="95">
        <f>IF(ISTEXT($H33),INDEX(VDSL1[Injectie (%)],MATCH($H33,VDSL1[Verdeelsleutel],0))*$K33,"")</f>
        <v>0</v>
      </c>
      <c r="T33" s="591"/>
      <c r="U33" s="1"/>
      <c r="V33" s="1"/>
      <c r="AG33" s="60"/>
    </row>
    <row r="34" spans="1:33" ht="15" customHeight="1">
      <c r="A34" s="81" t="s">
        <v>52</v>
      </c>
      <c r="B34" s="82" t="s">
        <v>83</v>
      </c>
      <c r="C34" s="82" t="s">
        <v>10</v>
      </c>
      <c r="D34" s="82" t="s">
        <v>72</v>
      </c>
      <c r="E34" s="82" t="s">
        <v>90</v>
      </c>
      <c r="F34" s="82" t="s">
        <v>91</v>
      </c>
      <c r="G34" s="83" t="s">
        <v>59</v>
      </c>
      <c r="H34" s="181" t="s">
        <v>239</v>
      </c>
      <c r="I34" s="182" t="s">
        <v>314</v>
      </c>
      <c r="J34" s="82" t="s">
        <v>318</v>
      </c>
      <c r="K34" s="901"/>
      <c r="L34" s="95">
        <f>IF(ISTEXT($H34),INDEX(VDSL1[Afname (%)],MATCH($H34,VDSL1[Verdeelsleutel],0))*$K34,"")</f>
        <v>0</v>
      </c>
      <c r="M34" s="93" t="e">
        <f>IF(ISTEXT($I34),INDEX(VDSL2[TRHS (%)],MATCH($I34,VDSL2[Verdeelsleutel],0))*$L34,"")</f>
        <v>#VALUE!</v>
      </c>
      <c r="N34" s="93" t="e">
        <f>IF(ISTEXT($I34),INDEX(VDSL2[MS (%)],MATCH($I34,VDSL2[Verdeelsleutel],0))*$L34,"")</f>
        <v>#VALUE!</v>
      </c>
      <c r="O34" s="93" t="e">
        <f>IF(ISTEXT($I34),INDEX(VDSL2[TRLS (%)],MATCH($I34,VDSL2[Verdeelsleutel],0))*$L34,"")</f>
        <v>#VALUE!</v>
      </c>
      <c r="P34" s="93" t="e">
        <f>IF(ISTEXT($I34),INDEX(VDSL2[LS (%)],MATCH($I34,VDSL2[Verdeelsleutel],0))*$L34,"")</f>
        <v>#VALUE!</v>
      </c>
      <c r="Q34" s="93" t="e">
        <f>IF(ISTEXT($J34),INDEX(VDSL3[Afnameklanten op LS met piekmeting (%)],MATCH($J34,VDSL3[Verdeelsleutel],0))*$P34,"")</f>
        <v>#DIV/0!</v>
      </c>
      <c r="R34" s="94" t="e">
        <f>IF(ISTEXT($J34),INDEX(VDSL3[Afnameklanten met KM/TT (%)],MATCH($J34,VDSL3[Verdeelsleutel],0))*$P34,"")</f>
        <v>#DIV/0!</v>
      </c>
      <c r="S34" s="95">
        <f>IF(ISTEXT($H34),INDEX(VDSL1[Injectie (%)],MATCH($H34,VDSL1[Verdeelsleutel],0))*$K34,"")</f>
        <v>0</v>
      </c>
      <c r="T34" s="591"/>
      <c r="U34" s="1"/>
      <c r="V34" s="1"/>
      <c r="AG34" s="60"/>
    </row>
    <row r="35" spans="1:33" ht="15" customHeight="1">
      <c r="A35" s="81" t="s">
        <v>52</v>
      </c>
      <c r="B35" s="82" t="s">
        <v>83</v>
      </c>
      <c r="C35" s="82" t="s">
        <v>10</v>
      </c>
      <c r="D35" s="82" t="s">
        <v>72</v>
      </c>
      <c r="E35" s="82" t="s">
        <v>90</v>
      </c>
      <c r="F35" s="82" t="s">
        <v>91</v>
      </c>
      <c r="G35" s="83" t="s">
        <v>557</v>
      </c>
      <c r="H35" s="181" t="s">
        <v>239</v>
      </c>
      <c r="I35" s="182" t="s">
        <v>559</v>
      </c>
      <c r="J35" s="82" t="s">
        <v>318</v>
      </c>
      <c r="K35" s="901"/>
      <c r="L35" s="95">
        <f>IF(ISTEXT($H35),INDEX(VDSL1[Afname (%)],MATCH($H35,VDSL1[Verdeelsleutel],0))*$K35,"")</f>
        <v>0</v>
      </c>
      <c r="M35" s="93" t="e">
        <f>IF(ISTEXT($I35),INDEX(VDSL2[TRHS (%)],MATCH($I35,VDSL2[Verdeelsleutel],0))*$L35,"")</f>
        <v>#VALUE!</v>
      </c>
      <c r="N35" s="93" t="e">
        <f>IF(ISTEXT($I35),INDEX(VDSL2[MS (%)],MATCH($I35,VDSL2[Verdeelsleutel],0))*$L35,"")</f>
        <v>#VALUE!</v>
      </c>
      <c r="O35" s="93" t="e">
        <f>IF(ISTEXT($I35),INDEX(VDSL2[TRLS (%)],MATCH($I35,VDSL2[Verdeelsleutel],0))*$L35,"")</f>
        <v>#VALUE!</v>
      </c>
      <c r="P35" s="93" t="e">
        <f>IF(ISTEXT($I35),INDEX(VDSL2[LS (%)],MATCH($I35,VDSL2[Verdeelsleutel],0))*$L35,"")</f>
        <v>#VALUE!</v>
      </c>
      <c r="Q35" s="93" t="e">
        <f>IF(ISTEXT($J35),INDEX(VDSL3[Afnameklanten op LS met piekmeting (%)],MATCH($J35,VDSL3[Verdeelsleutel],0))*$P35,"")</f>
        <v>#DIV/0!</v>
      </c>
      <c r="R35" s="94" t="e">
        <f>IF(ISTEXT($J35),INDEX(VDSL3[Afnameklanten met KM/TT (%)],MATCH($J35,VDSL3[Verdeelsleutel],0))*$P35,"")</f>
        <v>#DIV/0!</v>
      </c>
      <c r="S35" s="95">
        <f>IF(ISTEXT($H35),INDEX(VDSL1[Injectie (%)],MATCH($H35,VDSL1[Verdeelsleutel],0))*$K35,"")</f>
        <v>0</v>
      </c>
      <c r="T35" s="591"/>
      <c r="U35" s="1"/>
      <c r="V35" s="1"/>
      <c r="AG35" s="60"/>
    </row>
    <row r="36" spans="1:33" ht="15" customHeight="1">
      <c r="A36" s="81" t="s">
        <v>52</v>
      </c>
      <c r="B36" s="82" t="s">
        <v>83</v>
      </c>
      <c r="C36" s="82" t="s">
        <v>10</v>
      </c>
      <c r="D36" s="82" t="s">
        <v>72</v>
      </c>
      <c r="E36" s="82" t="s">
        <v>90</v>
      </c>
      <c r="F36" s="82" t="s">
        <v>91</v>
      </c>
      <c r="G36" s="83" t="s">
        <v>54</v>
      </c>
      <c r="H36" s="181" t="s">
        <v>239</v>
      </c>
      <c r="I36" s="182" t="s">
        <v>314</v>
      </c>
      <c r="J36" s="82" t="s">
        <v>318</v>
      </c>
      <c r="K36" s="901"/>
      <c r="L36" s="95">
        <f>IF(ISTEXT($H36),INDEX(VDSL1[Afname (%)],MATCH($H36,VDSL1[Verdeelsleutel],0))*$K36,"")</f>
        <v>0</v>
      </c>
      <c r="M36" s="93" t="e">
        <f>IF(ISTEXT($I36),INDEX(VDSL2[TRHS (%)],MATCH($I36,VDSL2[Verdeelsleutel],0))*$L36,"")</f>
        <v>#VALUE!</v>
      </c>
      <c r="N36" s="93" t="e">
        <f>IF(ISTEXT($I36),INDEX(VDSL2[MS (%)],MATCH($I36,VDSL2[Verdeelsleutel],0))*$L36,"")</f>
        <v>#VALUE!</v>
      </c>
      <c r="O36" s="93" t="e">
        <f>IF(ISTEXT($I36),INDEX(VDSL2[TRLS (%)],MATCH($I36,VDSL2[Verdeelsleutel],0))*$L36,"")</f>
        <v>#VALUE!</v>
      </c>
      <c r="P36" s="93" t="e">
        <f>IF(ISTEXT($I36),INDEX(VDSL2[LS (%)],MATCH($I36,VDSL2[Verdeelsleutel],0))*$L36,"")</f>
        <v>#VALUE!</v>
      </c>
      <c r="Q36" s="93" t="e">
        <f>IF(ISTEXT($J36),INDEX(VDSL3[Afnameklanten op LS met piekmeting (%)],MATCH($J36,VDSL3[Verdeelsleutel],0))*$P36,"")</f>
        <v>#DIV/0!</v>
      </c>
      <c r="R36" s="94" t="e">
        <f>IF(ISTEXT($J36),INDEX(VDSL3[Afnameklanten met KM/TT (%)],MATCH($J36,VDSL3[Verdeelsleutel],0))*$P36,"")</f>
        <v>#DIV/0!</v>
      </c>
      <c r="S36" s="95">
        <f>IF(ISTEXT($H36),INDEX(VDSL1[Injectie (%)],MATCH($H36,VDSL1[Verdeelsleutel],0))*$K36,"")</f>
        <v>0</v>
      </c>
      <c r="T36" s="591"/>
      <c r="U36" s="1"/>
      <c r="V36" s="1"/>
      <c r="AG36" s="60"/>
    </row>
    <row r="37" spans="1:33" ht="15" customHeight="1">
      <c r="A37" s="81" t="s">
        <v>52</v>
      </c>
      <c r="B37" s="82" t="s">
        <v>83</v>
      </c>
      <c r="C37" s="82" t="s">
        <v>10</v>
      </c>
      <c r="D37" s="82" t="s">
        <v>72</v>
      </c>
      <c r="E37" s="82" t="s">
        <v>90</v>
      </c>
      <c r="F37" s="82" t="s">
        <v>91</v>
      </c>
      <c r="G37" s="83" t="s">
        <v>53</v>
      </c>
      <c r="H37" s="181" t="s">
        <v>239</v>
      </c>
      <c r="I37" s="182" t="s">
        <v>314</v>
      </c>
      <c r="J37" s="82" t="s">
        <v>318</v>
      </c>
      <c r="K37" s="901"/>
      <c r="L37" s="95">
        <f>IF(ISTEXT($H37),INDEX(VDSL1[Afname (%)],MATCH($H37,VDSL1[Verdeelsleutel],0))*$K37,"")</f>
        <v>0</v>
      </c>
      <c r="M37" s="93" t="e">
        <f>IF(ISTEXT($I37),INDEX(VDSL2[TRHS (%)],MATCH($I37,VDSL2[Verdeelsleutel],0))*$L37,"")</f>
        <v>#VALUE!</v>
      </c>
      <c r="N37" s="93" t="e">
        <f>IF(ISTEXT($I37),INDEX(VDSL2[MS (%)],MATCH($I37,VDSL2[Verdeelsleutel],0))*$L37,"")</f>
        <v>#VALUE!</v>
      </c>
      <c r="O37" s="93" t="e">
        <f>IF(ISTEXT($I37),INDEX(VDSL2[TRLS (%)],MATCH($I37,VDSL2[Verdeelsleutel],0))*$L37,"")</f>
        <v>#VALUE!</v>
      </c>
      <c r="P37" s="93" t="e">
        <f>IF(ISTEXT($I37),INDEX(VDSL2[LS (%)],MATCH($I37,VDSL2[Verdeelsleutel],0))*$L37,"")</f>
        <v>#VALUE!</v>
      </c>
      <c r="Q37" s="93" t="e">
        <f>IF(ISTEXT($J37),INDEX(VDSL3[Afnameklanten op LS met piekmeting (%)],MATCH($J37,VDSL3[Verdeelsleutel],0))*$P37,"")</f>
        <v>#DIV/0!</v>
      </c>
      <c r="R37" s="94" t="e">
        <f>IF(ISTEXT($J37),INDEX(VDSL3[Afnameklanten met KM/TT (%)],MATCH($J37,VDSL3[Verdeelsleutel],0))*$P37,"")</f>
        <v>#DIV/0!</v>
      </c>
      <c r="S37" s="95">
        <f>IF(ISTEXT($H37),INDEX(VDSL1[Injectie (%)],MATCH($H37,VDSL1[Verdeelsleutel],0))*$K37,"")</f>
        <v>0</v>
      </c>
      <c r="T37" s="591"/>
      <c r="U37" s="1"/>
      <c r="V37" s="1"/>
      <c r="AG37" s="60"/>
    </row>
    <row r="38" spans="1:33" ht="15" customHeight="1">
      <c r="A38" s="81" t="s">
        <v>52</v>
      </c>
      <c r="B38" s="82" t="s">
        <v>83</v>
      </c>
      <c r="C38" s="82" t="s">
        <v>10</v>
      </c>
      <c r="D38" s="82" t="s">
        <v>72</v>
      </c>
      <c r="E38" s="82" t="s">
        <v>90</v>
      </c>
      <c r="F38" s="82" t="s">
        <v>91</v>
      </c>
      <c r="G38" s="83" t="s">
        <v>55</v>
      </c>
      <c r="H38" s="181" t="s">
        <v>239</v>
      </c>
      <c r="I38" s="182" t="s">
        <v>314</v>
      </c>
      <c r="J38" s="82" t="s">
        <v>318</v>
      </c>
      <c r="K38" s="901"/>
      <c r="L38" s="95">
        <f>IF(ISTEXT($H38),INDEX(VDSL1[Afname (%)],MATCH($H38,VDSL1[Verdeelsleutel],0))*$K38,"")</f>
        <v>0</v>
      </c>
      <c r="M38" s="93" t="e">
        <f>IF(ISTEXT($I38),INDEX(VDSL2[TRHS (%)],MATCH($I38,VDSL2[Verdeelsleutel],0))*$L38,"")</f>
        <v>#VALUE!</v>
      </c>
      <c r="N38" s="93" t="e">
        <f>IF(ISTEXT($I38),INDEX(VDSL2[MS (%)],MATCH($I38,VDSL2[Verdeelsleutel],0))*$L38,"")</f>
        <v>#VALUE!</v>
      </c>
      <c r="O38" s="93" t="e">
        <f>IF(ISTEXT($I38),INDEX(VDSL2[TRLS (%)],MATCH($I38,VDSL2[Verdeelsleutel],0))*$L38,"")</f>
        <v>#VALUE!</v>
      </c>
      <c r="P38" s="93" t="e">
        <f>IF(ISTEXT($I38),INDEX(VDSL2[LS (%)],MATCH($I38,VDSL2[Verdeelsleutel],0))*$L38,"")</f>
        <v>#VALUE!</v>
      </c>
      <c r="Q38" s="93" t="e">
        <f>IF(ISTEXT($J38),INDEX(VDSL3[Afnameklanten op LS met piekmeting (%)],MATCH($J38,VDSL3[Verdeelsleutel],0))*$P38,"")</f>
        <v>#DIV/0!</v>
      </c>
      <c r="R38" s="94" t="e">
        <f>IF(ISTEXT($J38),INDEX(VDSL3[Afnameklanten met KM/TT (%)],MATCH($J38,VDSL3[Verdeelsleutel],0))*$P38,"")</f>
        <v>#DIV/0!</v>
      </c>
      <c r="S38" s="95">
        <f>IF(ISTEXT($H38),INDEX(VDSL1[Injectie (%)],MATCH($H38,VDSL1[Verdeelsleutel],0))*$K38,"")</f>
        <v>0</v>
      </c>
      <c r="T38" s="591"/>
      <c r="U38" s="1"/>
      <c r="V38" s="1"/>
      <c r="AG38" s="60"/>
    </row>
    <row r="39" spans="1:33" ht="15" customHeight="1">
      <c r="A39" s="81" t="s">
        <v>88</v>
      </c>
      <c r="B39" s="82" t="s">
        <v>83</v>
      </c>
      <c r="C39" s="82" t="s">
        <v>23</v>
      </c>
      <c r="D39" s="82" t="s">
        <v>72</v>
      </c>
      <c r="E39" s="82" t="s">
        <v>90</v>
      </c>
      <c r="F39" s="82" t="s">
        <v>92</v>
      </c>
      <c r="G39" s="83" t="s">
        <v>168</v>
      </c>
      <c r="H39" s="181" t="s">
        <v>239</v>
      </c>
      <c r="I39" s="182" t="s">
        <v>158</v>
      </c>
      <c r="J39" s="82" t="s">
        <v>14</v>
      </c>
      <c r="K39" s="901"/>
      <c r="L39" s="95">
        <f>IF(ISTEXT($H39),INDEX(VDSL1[Afname (%)],MATCH($H39,VDSL1[Verdeelsleutel],0))*$K39,"")</f>
        <v>0</v>
      </c>
      <c r="M39" s="93" t="e">
        <f>IF(ISTEXT($I39),INDEX(VDSL2[TRHS (%)],MATCH($I39,VDSL2[Verdeelsleutel],0))*$L39,"")</f>
        <v>#DIV/0!</v>
      </c>
      <c r="N39" s="93" t="e">
        <f>IF(ISTEXT($I39),INDEX(VDSL2[MS (%)],MATCH($I39,VDSL2[Verdeelsleutel],0))*$L39,"")</f>
        <v>#DIV/0!</v>
      </c>
      <c r="O39" s="93" t="e">
        <f>IF(ISTEXT($I39),INDEX(VDSL2[TRLS (%)],MATCH($I39,VDSL2[Verdeelsleutel],0))*$L39,"")</f>
        <v>#DIV/0!</v>
      </c>
      <c r="P39" s="93" t="e">
        <f>IF(ISTEXT($I39),INDEX(VDSL2[LS (%)],MATCH($I39,VDSL2[Verdeelsleutel],0))*$L39,"")</f>
        <v>#DIV/0!</v>
      </c>
      <c r="Q39" s="93" t="e">
        <f>IF(ISTEXT($J39),INDEX(VDSL3[Afnameklanten op LS met piekmeting (%)],MATCH($J39,VDSL3[Verdeelsleutel],0))*$P39,"")</f>
        <v>#DIV/0!</v>
      </c>
      <c r="R39" s="94" t="e">
        <f>IF(ISTEXT($J39),INDEX(VDSL3[Afnameklanten met KM/TT (%)],MATCH($J39,VDSL3[Verdeelsleutel],0))*$P39,"")</f>
        <v>#DIV/0!</v>
      </c>
      <c r="S39" s="95">
        <f>IF(ISTEXT($H39),INDEX(VDSL1[Injectie (%)],MATCH($H39,VDSL1[Verdeelsleutel],0))*$K39,"")</f>
        <v>0</v>
      </c>
      <c r="T39" s="591"/>
      <c r="U39" s="1"/>
      <c r="V39" s="1"/>
      <c r="AG39" s="60"/>
    </row>
    <row r="40" spans="1:33" ht="15" customHeight="1">
      <c r="A40" s="81" t="s">
        <v>88</v>
      </c>
      <c r="B40" s="82" t="s">
        <v>83</v>
      </c>
      <c r="C40" s="82" t="s">
        <v>23</v>
      </c>
      <c r="D40" s="82" t="s">
        <v>72</v>
      </c>
      <c r="E40" s="82" t="s">
        <v>90</v>
      </c>
      <c r="F40" s="82" t="s">
        <v>92</v>
      </c>
      <c r="G40" s="83" t="s">
        <v>48</v>
      </c>
      <c r="H40" s="181" t="s">
        <v>239</v>
      </c>
      <c r="I40" s="182" t="s">
        <v>158</v>
      </c>
      <c r="J40" s="82" t="s">
        <v>14</v>
      </c>
      <c r="K40" s="901"/>
      <c r="L40" s="95">
        <f>IF(ISTEXT($H40),INDEX(VDSL1[Afname (%)],MATCH($H40,VDSL1[Verdeelsleutel],0))*$K40,"")</f>
        <v>0</v>
      </c>
      <c r="M40" s="93" t="e">
        <f>IF(ISTEXT($I40),INDEX(VDSL2[TRHS (%)],MATCH($I40,VDSL2[Verdeelsleutel],0))*$L40,"")</f>
        <v>#DIV/0!</v>
      </c>
      <c r="N40" s="93" t="e">
        <f>IF(ISTEXT($I40),INDEX(VDSL2[MS (%)],MATCH($I40,VDSL2[Verdeelsleutel],0))*$L40,"")</f>
        <v>#DIV/0!</v>
      </c>
      <c r="O40" s="93" t="e">
        <f>IF(ISTEXT($I40),INDEX(VDSL2[TRLS (%)],MATCH($I40,VDSL2[Verdeelsleutel],0))*$L40,"")</f>
        <v>#DIV/0!</v>
      </c>
      <c r="P40" s="93" t="e">
        <f>IF(ISTEXT($I40),INDEX(VDSL2[LS (%)],MATCH($I40,VDSL2[Verdeelsleutel],0))*$L40,"")</f>
        <v>#DIV/0!</v>
      </c>
      <c r="Q40" s="93" t="e">
        <f>IF(ISTEXT($J40),INDEX(VDSL3[Afnameklanten op LS met piekmeting (%)],MATCH($J40,VDSL3[Verdeelsleutel],0))*$P40,"")</f>
        <v>#DIV/0!</v>
      </c>
      <c r="R40" s="94" t="e">
        <f>IF(ISTEXT($J40),INDEX(VDSL3[Afnameklanten met KM/TT (%)],MATCH($J40,VDSL3[Verdeelsleutel],0))*$P40,"")</f>
        <v>#DIV/0!</v>
      </c>
      <c r="S40" s="95">
        <f>IF(ISTEXT($H40),INDEX(VDSL1[Injectie (%)],MATCH($H40,VDSL1[Verdeelsleutel],0))*$K40,"")</f>
        <v>0</v>
      </c>
      <c r="T40" s="591"/>
      <c r="U40" s="1"/>
      <c r="V40" s="1"/>
      <c r="AG40" s="60"/>
    </row>
    <row r="41" spans="1:33" ht="15" customHeight="1">
      <c r="A41" s="81" t="s">
        <v>88</v>
      </c>
      <c r="B41" s="82" t="s">
        <v>83</v>
      </c>
      <c r="C41" s="82" t="s">
        <v>23</v>
      </c>
      <c r="D41" s="82" t="s">
        <v>72</v>
      </c>
      <c r="E41" s="82" t="s">
        <v>90</v>
      </c>
      <c r="F41" s="82" t="s">
        <v>92</v>
      </c>
      <c r="G41" s="83" t="s">
        <v>46</v>
      </c>
      <c r="H41" s="181" t="s">
        <v>239</v>
      </c>
      <c r="I41" s="182" t="s">
        <v>14</v>
      </c>
      <c r="J41" s="82" t="s">
        <v>14</v>
      </c>
      <c r="K41" s="901"/>
      <c r="L41" s="95">
        <f>IF(ISTEXT($H41),INDEX(VDSL1[Afname (%)],MATCH($H41,VDSL1[Verdeelsleutel],0))*$K41,"")</f>
        <v>0</v>
      </c>
      <c r="M41" s="93" t="e">
        <f>IF(ISTEXT($I41),INDEX(VDSL2[TRHS (%)],MATCH($I41,VDSL2[Verdeelsleutel],0))*$L41,"")</f>
        <v>#DIV/0!</v>
      </c>
      <c r="N41" s="93" t="e">
        <f>IF(ISTEXT($I41),INDEX(VDSL2[MS (%)],MATCH($I41,VDSL2[Verdeelsleutel],0))*$L41,"")</f>
        <v>#DIV/0!</v>
      </c>
      <c r="O41" s="93" t="e">
        <f>IF(ISTEXT($I41),INDEX(VDSL2[TRLS (%)],MATCH($I41,VDSL2[Verdeelsleutel],0))*$L41,"")</f>
        <v>#DIV/0!</v>
      </c>
      <c r="P41" s="93" t="e">
        <f>IF(ISTEXT($I41),INDEX(VDSL2[LS (%)],MATCH($I41,VDSL2[Verdeelsleutel],0))*$L41,"")</f>
        <v>#DIV/0!</v>
      </c>
      <c r="Q41" s="93" t="e">
        <f>IF(ISTEXT($J41),INDEX(VDSL3[Afnameklanten op LS met piekmeting (%)],MATCH($J41,VDSL3[Verdeelsleutel],0))*$P41,"")</f>
        <v>#DIV/0!</v>
      </c>
      <c r="R41" s="94" t="e">
        <f>IF(ISTEXT($J41),INDEX(VDSL3[Afnameklanten met KM/TT (%)],MATCH($J41,VDSL3[Verdeelsleutel],0))*$P41,"")</f>
        <v>#DIV/0!</v>
      </c>
      <c r="S41" s="95">
        <f>IF(ISTEXT($H41),INDEX(VDSL1[Injectie (%)],MATCH($H41,VDSL1[Verdeelsleutel],0))*$K41,"")</f>
        <v>0</v>
      </c>
      <c r="T41" s="591"/>
      <c r="U41" s="1"/>
      <c r="V41" s="1"/>
      <c r="AG41" s="60"/>
    </row>
    <row r="42" spans="1:33" ht="15" customHeight="1">
      <c r="A42" s="81" t="s">
        <v>88</v>
      </c>
      <c r="B42" s="82" t="s">
        <v>83</v>
      </c>
      <c r="C42" s="82" t="s">
        <v>23</v>
      </c>
      <c r="D42" s="82" t="s">
        <v>72</v>
      </c>
      <c r="E42" s="82" t="s">
        <v>90</v>
      </c>
      <c r="F42" s="82" t="s">
        <v>92</v>
      </c>
      <c r="G42" s="83" t="s">
        <v>45</v>
      </c>
      <c r="H42" s="181" t="s">
        <v>14</v>
      </c>
      <c r="I42" s="182" t="s">
        <v>14</v>
      </c>
      <c r="J42" s="82" t="s">
        <v>14</v>
      </c>
      <c r="K42" s="901"/>
      <c r="L42" s="95" t="e">
        <f>IF(ISTEXT($H42),INDEX(VDSL1[Afname (%)],MATCH($H42,VDSL1[Verdeelsleutel],0))*$K42,"")</f>
        <v>#DIV/0!</v>
      </c>
      <c r="M42" s="93" t="e">
        <f>IF(ISTEXT($I42),INDEX(VDSL2[TRHS (%)],MATCH($I42,VDSL2[Verdeelsleutel],0))*$L42,"")</f>
        <v>#DIV/0!</v>
      </c>
      <c r="N42" s="93" t="e">
        <f>IF(ISTEXT($I42),INDEX(VDSL2[MS (%)],MATCH($I42,VDSL2[Verdeelsleutel],0))*$L42,"")</f>
        <v>#DIV/0!</v>
      </c>
      <c r="O42" s="93" t="e">
        <f>IF(ISTEXT($I42),INDEX(VDSL2[TRLS (%)],MATCH($I42,VDSL2[Verdeelsleutel],0))*$L42,"")</f>
        <v>#DIV/0!</v>
      </c>
      <c r="P42" s="93" t="e">
        <f>IF(ISTEXT($I42),INDEX(VDSL2[LS (%)],MATCH($I42,VDSL2[Verdeelsleutel],0))*$L42,"")</f>
        <v>#DIV/0!</v>
      </c>
      <c r="Q42" s="93" t="e">
        <f>IF(ISTEXT($J42),INDEX(VDSL3[Afnameklanten op LS met piekmeting (%)],MATCH($J42,VDSL3[Verdeelsleutel],0))*$P42,"")</f>
        <v>#DIV/0!</v>
      </c>
      <c r="R42" s="94" t="e">
        <f>IF(ISTEXT($J42),INDEX(VDSL3[Afnameklanten met KM/TT (%)],MATCH($J42,VDSL3[Verdeelsleutel],0))*$P42,"")</f>
        <v>#DIV/0!</v>
      </c>
      <c r="S42" s="95" t="e">
        <f>IF(ISTEXT($H42),INDEX(VDSL1[Injectie (%)],MATCH($H42,VDSL1[Verdeelsleutel],0))*$K42,"")</f>
        <v>#DIV/0!</v>
      </c>
      <c r="T42" s="591"/>
      <c r="U42" s="1"/>
      <c r="V42" s="1"/>
      <c r="AG42" s="60"/>
    </row>
    <row r="43" spans="1:33" ht="15" customHeight="1">
      <c r="A43" s="81" t="s">
        <v>88</v>
      </c>
      <c r="B43" s="82" t="s">
        <v>83</v>
      </c>
      <c r="C43" s="82" t="s">
        <v>23</v>
      </c>
      <c r="D43" s="82" t="s">
        <v>72</v>
      </c>
      <c r="E43" s="82" t="s">
        <v>90</v>
      </c>
      <c r="F43" s="82" t="s">
        <v>92</v>
      </c>
      <c r="G43" s="83" t="s">
        <v>98</v>
      </c>
      <c r="H43" s="181" t="s">
        <v>239</v>
      </c>
      <c r="I43" s="182" t="s">
        <v>158</v>
      </c>
      <c r="J43" s="82" t="s">
        <v>14</v>
      </c>
      <c r="K43" s="901"/>
      <c r="L43" s="95">
        <f>IF(ISTEXT($H43),INDEX(VDSL1[Afname (%)],MATCH($H43,VDSL1[Verdeelsleutel],0))*$K43,"")</f>
        <v>0</v>
      </c>
      <c r="M43" s="93" t="e">
        <f>IF(ISTEXT($I43),INDEX(VDSL2[TRHS (%)],MATCH($I43,VDSL2[Verdeelsleutel],0))*$L43,"")</f>
        <v>#DIV/0!</v>
      </c>
      <c r="N43" s="93" t="e">
        <f>IF(ISTEXT($I43),INDEX(VDSL2[MS (%)],MATCH($I43,VDSL2[Verdeelsleutel],0))*$L43,"")</f>
        <v>#DIV/0!</v>
      </c>
      <c r="O43" s="93" t="e">
        <f>IF(ISTEXT($I43),INDEX(VDSL2[TRLS (%)],MATCH($I43,VDSL2[Verdeelsleutel],0))*$L43,"")</f>
        <v>#DIV/0!</v>
      </c>
      <c r="P43" s="93" t="e">
        <f>IF(ISTEXT($I43),INDEX(VDSL2[LS (%)],MATCH($I43,VDSL2[Verdeelsleutel],0))*$L43,"")</f>
        <v>#DIV/0!</v>
      </c>
      <c r="Q43" s="93" t="e">
        <f>IF(ISTEXT($J43),INDEX(VDSL3[Afnameklanten op LS met piekmeting (%)],MATCH($J43,VDSL3[Verdeelsleutel],0))*$P43,"")</f>
        <v>#DIV/0!</v>
      </c>
      <c r="R43" s="94" t="e">
        <f>IF(ISTEXT($J43),INDEX(VDSL3[Afnameklanten met KM/TT (%)],MATCH($J43,VDSL3[Verdeelsleutel],0))*$P43,"")</f>
        <v>#DIV/0!</v>
      </c>
      <c r="S43" s="95">
        <f>IF(ISTEXT($H43),INDEX(VDSL1[Injectie (%)],MATCH($H43,VDSL1[Verdeelsleutel],0))*$K43,"")</f>
        <v>0</v>
      </c>
      <c r="T43" s="591"/>
      <c r="U43" s="1"/>
      <c r="V43" s="1"/>
      <c r="AG43" s="60"/>
    </row>
    <row r="44" spans="1:33" ht="15" customHeight="1">
      <c r="A44" s="81" t="s">
        <v>88</v>
      </c>
      <c r="B44" s="82" t="s">
        <v>83</v>
      </c>
      <c r="C44" s="82" t="s">
        <v>23</v>
      </c>
      <c r="D44" s="82" t="s">
        <v>72</v>
      </c>
      <c r="E44" s="82" t="s">
        <v>90</v>
      </c>
      <c r="F44" s="82" t="s">
        <v>92</v>
      </c>
      <c r="G44" s="83" t="s">
        <v>97</v>
      </c>
      <c r="H44" s="181" t="s">
        <v>239</v>
      </c>
      <c r="I44" s="182" t="s">
        <v>158</v>
      </c>
      <c r="J44" s="82" t="s">
        <v>14</v>
      </c>
      <c r="K44" s="901"/>
      <c r="L44" s="95">
        <f>IF(ISTEXT($H44),INDEX(VDSL1[Afname (%)],MATCH($H44,VDSL1[Verdeelsleutel],0))*$K44,"")</f>
        <v>0</v>
      </c>
      <c r="M44" s="93" t="e">
        <f>IF(ISTEXT($I44),INDEX(VDSL2[TRHS (%)],MATCH($I44,VDSL2[Verdeelsleutel],0))*$L44,"")</f>
        <v>#DIV/0!</v>
      </c>
      <c r="N44" s="93" t="e">
        <f>IF(ISTEXT($I44),INDEX(VDSL2[MS (%)],MATCH($I44,VDSL2[Verdeelsleutel],0))*$L44,"")</f>
        <v>#DIV/0!</v>
      </c>
      <c r="O44" s="93" t="e">
        <f>IF(ISTEXT($I44),INDEX(VDSL2[TRLS (%)],MATCH($I44,VDSL2[Verdeelsleutel],0))*$L44,"")</f>
        <v>#DIV/0!</v>
      </c>
      <c r="P44" s="93" t="e">
        <f>IF(ISTEXT($I44),INDEX(VDSL2[LS (%)],MATCH($I44,VDSL2[Verdeelsleutel],0))*$L44,"")</f>
        <v>#DIV/0!</v>
      </c>
      <c r="Q44" s="93" t="e">
        <f>IF(ISTEXT($J44),INDEX(VDSL3[Afnameklanten op LS met piekmeting (%)],MATCH($J44,VDSL3[Verdeelsleutel],0))*$P44,"")</f>
        <v>#DIV/0!</v>
      </c>
      <c r="R44" s="94" t="e">
        <f>IF(ISTEXT($J44),INDEX(VDSL3[Afnameklanten met KM/TT (%)],MATCH($J44,VDSL3[Verdeelsleutel],0))*$P44,"")</f>
        <v>#DIV/0!</v>
      </c>
      <c r="S44" s="95">
        <f>IF(ISTEXT($H44),INDEX(VDSL1[Injectie (%)],MATCH($H44,VDSL1[Verdeelsleutel],0))*$K44,"")</f>
        <v>0</v>
      </c>
      <c r="T44" s="591"/>
      <c r="U44" s="1"/>
      <c r="V44" s="1"/>
      <c r="AG44" s="60"/>
    </row>
    <row r="45" spans="1:33" ht="15" customHeight="1">
      <c r="A45" s="81" t="s">
        <v>88</v>
      </c>
      <c r="B45" s="82" t="s">
        <v>83</v>
      </c>
      <c r="C45" s="82" t="s">
        <v>23</v>
      </c>
      <c r="D45" s="82" t="s">
        <v>72</v>
      </c>
      <c r="E45" s="82" t="s">
        <v>90</v>
      </c>
      <c r="F45" s="82" t="s">
        <v>92</v>
      </c>
      <c r="G45" s="83" t="s">
        <v>341</v>
      </c>
      <c r="H45" s="181" t="s">
        <v>239</v>
      </c>
      <c r="I45" s="182" t="s">
        <v>158</v>
      </c>
      <c r="J45" s="82" t="s">
        <v>14</v>
      </c>
      <c r="K45" s="901"/>
      <c r="L45" s="95">
        <f>IF(ISTEXT($H45),INDEX(VDSL1[Afname (%)],MATCH($H45,VDSL1[Verdeelsleutel],0))*$K45,"")</f>
        <v>0</v>
      </c>
      <c r="M45" s="93" t="e">
        <f>IF(ISTEXT($I45),INDEX(VDSL2[TRHS (%)],MATCH($I45,VDSL2[Verdeelsleutel],0))*$L45,"")</f>
        <v>#DIV/0!</v>
      </c>
      <c r="N45" s="93" t="e">
        <f>IF(ISTEXT($I45),INDEX(VDSL2[MS (%)],MATCH($I45,VDSL2[Verdeelsleutel],0))*$L45,"")</f>
        <v>#DIV/0!</v>
      </c>
      <c r="O45" s="93" t="e">
        <f>IF(ISTEXT($I45),INDEX(VDSL2[TRLS (%)],MATCH($I45,VDSL2[Verdeelsleutel],0))*$L45,"")</f>
        <v>#DIV/0!</v>
      </c>
      <c r="P45" s="93" t="e">
        <f>IF(ISTEXT($I45),INDEX(VDSL2[LS (%)],MATCH($I45,VDSL2[Verdeelsleutel],0))*$L45,"")</f>
        <v>#DIV/0!</v>
      </c>
      <c r="Q45" s="93" t="e">
        <f>IF(ISTEXT($J45),INDEX(VDSL3[Afnameklanten op LS met piekmeting (%)],MATCH($J45,VDSL3[Verdeelsleutel],0))*$P45,"")</f>
        <v>#DIV/0!</v>
      </c>
      <c r="R45" s="94" t="e">
        <f>IF(ISTEXT($J45),INDEX(VDSL3[Afnameklanten met KM/TT (%)],MATCH($J45,VDSL3[Verdeelsleutel],0))*$P45,"")</f>
        <v>#DIV/0!</v>
      </c>
      <c r="S45" s="95">
        <f>IF(ISTEXT($H45),INDEX(VDSL1[Injectie (%)],MATCH($H45,VDSL1[Verdeelsleutel],0))*$K45,"")</f>
        <v>0</v>
      </c>
      <c r="T45" s="591"/>
      <c r="U45" s="1"/>
      <c r="V45" s="1"/>
      <c r="AG45" s="60"/>
    </row>
    <row r="46" spans="1:33" ht="15" customHeight="1">
      <c r="A46" s="81" t="s">
        <v>88</v>
      </c>
      <c r="B46" s="82" t="s">
        <v>83</v>
      </c>
      <c r="C46" s="82" t="s">
        <v>23</v>
      </c>
      <c r="D46" s="82" t="s">
        <v>72</v>
      </c>
      <c r="E46" s="82" t="s">
        <v>90</v>
      </c>
      <c r="F46" s="82" t="s">
        <v>92</v>
      </c>
      <c r="G46" s="83" t="s">
        <v>36</v>
      </c>
      <c r="H46" s="181" t="s">
        <v>239</v>
      </c>
      <c r="I46" s="182" t="s">
        <v>158</v>
      </c>
      <c r="J46" s="82" t="s">
        <v>14</v>
      </c>
      <c r="K46" s="901"/>
      <c r="L46" s="95">
        <f>IF(ISTEXT($H46),INDEX(VDSL1[Afname (%)],MATCH($H46,VDSL1[Verdeelsleutel],0))*$K46,"")</f>
        <v>0</v>
      </c>
      <c r="M46" s="93" t="e">
        <f>IF(ISTEXT($I46),INDEX(VDSL2[TRHS (%)],MATCH($I46,VDSL2[Verdeelsleutel],0))*$L46,"")</f>
        <v>#DIV/0!</v>
      </c>
      <c r="N46" s="93" t="e">
        <f>IF(ISTEXT($I46),INDEX(VDSL2[MS (%)],MATCH($I46,VDSL2[Verdeelsleutel],0))*$L46,"")</f>
        <v>#DIV/0!</v>
      </c>
      <c r="O46" s="93" t="e">
        <f>IF(ISTEXT($I46),INDEX(VDSL2[TRLS (%)],MATCH($I46,VDSL2[Verdeelsleutel],0))*$L46,"")</f>
        <v>#DIV/0!</v>
      </c>
      <c r="P46" s="93" t="e">
        <f>IF(ISTEXT($I46),INDEX(VDSL2[LS (%)],MATCH($I46,VDSL2[Verdeelsleutel],0))*$L46,"")</f>
        <v>#DIV/0!</v>
      </c>
      <c r="Q46" s="93" t="e">
        <f>IF(ISTEXT($J46),INDEX(VDSL3[Afnameklanten op LS met piekmeting (%)],MATCH($J46,VDSL3[Verdeelsleutel],0))*$P46,"")</f>
        <v>#DIV/0!</v>
      </c>
      <c r="R46" s="94" t="e">
        <f>IF(ISTEXT($J46),INDEX(VDSL3[Afnameklanten met KM/TT (%)],MATCH($J46,VDSL3[Verdeelsleutel],0))*$P46,"")</f>
        <v>#DIV/0!</v>
      </c>
      <c r="S46" s="95">
        <f>IF(ISTEXT($H46),INDEX(VDSL1[Injectie (%)],MATCH($H46,VDSL1[Verdeelsleutel],0))*$K46,"")</f>
        <v>0</v>
      </c>
      <c r="T46" s="591"/>
      <c r="U46" s="1"/>
      <c r="V46" s="1"/>
      <c r="AG46" s="60"/>
    </row>
    <row r="47" spans="1:33" ht="15" customHeight="1">
      <c r="A47" s="81" t="s">
        <v>88</v>
      </c>
      <c r="B47" s="82" t="s">
        <v>83</v>
      </c>
      <c r="C47" s="82" t="s">
        <v>23</v>
      </c>
      <c r="D47" s="82" t="s">
        <v>49</v>
      </c>
      <c r="E47" s="82" t="s">
        <v>90</v>
      </c>
      <c r="F47" s="82" t="s">
        <v>91</v>
      </c>
      <c r="G47" s="83" t="s">
        <v>66</v>
      </c>
      <c r="H47" s="181" t="s">
        <v>239</v>
      </c>
      <c r="I47" s="182" t="s">
        <v>27</v>
      </c>
      <c r="J47" s="82" t="s">
        <v>27</v>
      </c>
      <c r="K47" s="901"/>
      <c r="L47" s="95">
        <f>IF(ISTEXT($H47),INDEX(VDSL1[Afname (%)],MATCH($H47,VDSL1[Verdeelsleutel],0))*$K47,"")</f>
        <v>0</v>
      </c>
      <c r="M47" s="93" t="e">
        <f>IF(ISTEXT($I47),INDEX(VDSL2[TRHS (%)],MATCH($I47,VDSL2[Verdeelsleutel],0))*$L47,"")</f>
        <v>#VALUE!</v>
      </c>
      <c r="N47" s="93" t="e">
        <f>IF(ISTEXT($I47),INDEX(VDSL2[MS (%)],MATCH($I47,VDSL2[Verdeelsleutel],0))*$L47,"")</f>
        <v>#VALUE!</v>
      </c>
      <c r="O47" s="93" t="e">
        <f>IF(ISTEXT($I47),INDEX(VDSL2[TRLS (%)],MATCH($I47,VDSL2[Verdeelsleutel],0))*$L47,"")</f>
        <v>#VALUE!</v>
      </c>
      <c r="P47" s="93" t="e">
        <f>IF(ISTEXT($I47),INDEX(VDSL2[LS (%)],MATCH($I47,VDSL2[Verdeelsleutel],0))*$L47,"")</f>
        <v>#VALUE!</v>
      </c>
      <c r="Q47" s="93" t="e">
        <f>IF(ISTEXT($J47),INDEX(VDSL3[Afnameklanten op LS met piekmeting (%)],MATCH($J47,VDSL3[Verdeelsleutel],0))*$P47,"")</f>
        <v>#VALUE!</v>
      </c>
      <c r="R47" s="94" t="e">
        <f>IF(ISTEXT($J47),INDEX(VDSL3[Afnameklanten met KM/TT (%)],MATCH($J47,VDSL3[Verdeelsleutel],0))*$P47,"")</f>
        <v>#VALUE!</v>
      </c>
      <c r="S47" s="95">
        <f>IF(ISTEXT($H47),INDEX(VDSL1[Injectie (%)],MATCH($H47,VDSL1[Verdeelsleutel],0))*$K47,"")</f>
        <v>0</v>
      </c>
      <c r="T47" s="591"/>
      <c r="U47" s="1"/>
      <c r="V47" s="1"/>
      <c r="AG47" s="60"/>
    </row>
    <row r="48" spans="1:33" ht="15" customHeight="1">
      <c r="A48" s="81" t="s">
        <v>88</v>
      </c>
      <c r="B48" s="82" t="s">
        <v>83</v>
      </c>
      <c r="C48" s="82" t="s">
        <v>10</v>
      </c>
      <c r="D48" s="82" t="s">
        <v>49</v>
      </c>
      <c r="E48" s="82" t="s">
        <v>90</v>
      </c>
      <c r="F48" s="82" t="s">
        <v>92</v>
      </c>
      <c r="G48" s="83" t="s">
        <v>65</v>
      </c>
      <c r="H48" s="181" t="s">
        <v>239</v>
      </c>
      <c r="I48" s="182" t="s">
        <v>229</v>
      </c>
      <c r="J48" s="82" t="s">
        <v>229</v>
      </c>
      <c r="K48" s="901"/>
      <c r="L48" s="95">
        <f>IF(ISTEXT($H48),INDEX(VDSL1[Afname (%)],MATCH($H48,VDSL1[Verdeelsleutel],0))*$K48,"")</f>
        <v>0</v>
      </c>
      <c r="M48" s="93" t="e">
        <f>IF(ISTEXT($I48),INDEX(VDSL2[TRHS (%)],MATCH($I48,VDSL2[Verdeelsleutel],0))*$L48,"")</f>
        <v>#VALUE!</v>
      </c>
      <c r="N48" s="93" t="e">
        <f>IF(ISTEXT($I48),INDEX(VDSL2[MS (%)],MATCH($I48,VDSL2[Verdeelsleutel],0))*$L48,"")</f>
        <v>#VALUE!</v>
      </c>
      <c r="O48" s="93" t="e">
        <f>IF(ISTEXT($I48),INDEX(VDSL2[TRLS (%)],MATCH($I48,VDSL2[Verdeelsleutel],0))*$L48,"")</f>
        <v>#VALUE!</v>
      </c>
      <c r="P48" s="93" t="e">
        <f>IF(ISTEXT($I48),INDEX(VDSL2[LS (%)],MATCH($I48,VDSL2[Verdeelsleutel],0))*$L48,"")</f>
        <v>#VALUE!</v>
      </c>
      <c r="Q48" s="93" t="e">
        <f>IF(ISTEXT($J48),INDEX(VDSL3[Afnameklanten op LS met piekmeting (%)],MATCH($J48,VDSL3[Verdeelsleutel],0))*$P48,"")</f>
        <v>#VALUE!</v>
      </c>
      <c r="R48" s="94" t="e">
        <f>IF(ISTEXT($J48),INDEX(VDSL3[Afnameklanten met KM/TT (%)],MATCH($J48,VDSL3[Verdeelsleutel],0))*$P48,"")</f>
        <v>#VALUE!</v>
      </c>
      <c r="S48" s="95">
        <f>IF(ISTEXT($H48),INDEX(VDSL1[Injectie (%)],MATCH($H48,VDSL1[Verdeelsleutel],0))*$K48,"")</f>
        <v>0</v>
      </c>
      <c r="T48" s="591"/>
      <c r="U48" s="1"/>
      <c r="V48" s="1"/>
      <c r="AG48" s="60"/>
    </row>
    <row r="49" spans="1:33" ht="15" customHeight="1">
      <c r="A49" s="81" t="s">
        <v>88</v>
      </c>
      <c r="B49" s="82" t="s">
        <v>83</v>
      </c>
      <c r="C49" s="82" t="s">
        <v>10</v>
      </c>
      <c r="D49" s="82" t="s">
        <v>49</v>
      </c>
      <c r="E49" s="82" t="s">
        <v>90</v>
      </c>
      <c r="F49" s="82" t="s">
        <v>92</v>
      </c>
      <c r="G49" s="83" t="s">
        <v>320</v>
      </c>
      <c r="H49" s="181" t="s">
        <v>239</v>
      </c>
      <c r="I49" s="182" t="s">
        <v>229</v>
      </c>
      <c r="J49" s="82" t="s">
        <v>229</v>
      </c>
      <c r="K49" s="901"/>
      <c r="L49" s="95">
        <f>IF(ISTEXT($H49),INDEX(VDSL1[Afname (%)],MATCH($H49,VDSL1[Verdeelsleutel],0))*$K49,"")</f>
        <v>0</v>
      </c>
      <c r="M49" s="93" t="e">
        <f>IF(ISTEXT($I49),INDEX(VDSL2[TRHS (%)],MATCH($I49,VDSL2[Verdeelsleutel],0))*$L49,"")</f>
        <v>#VALUE!</v>
      </c>
      <c r="N49" s="93" t="e">
        <f>IF(ISTEXT($I49),INDEX(VDSL2[MS (%)],MATCH($I49,VDSL2[Verdeelsleutel],0))*$L49,"")</f>
        <v>#VALUE!</v>
      </c>
      <c r="O49" s="93" t="e">
        <f>IF(ISTEXT($I49),INDEX(VDSL2[TRLS (%)],MATCH($I49,VDSL2[Verdeelsleutel],0))*$L49,"")</f>
        <v>#VALUE!</v>
      </c>
      <c r="P49" s="93" t="e">
        <f>IF(ISTEXT($I49),INDEX(VDSL2[LS (%)],MATCH($I49,VDSL2[Verdeelsleutel],0))*$L49,"")</f>
        <v>#VALUE!</v>
      </c>
      <c r="Q49" s="93" t="e">
        <f>IF(ISTEXT($J49),INDEX(VDSL3[Afnameklanten op LS met piekmeting (%)],MATCH($J49,VDSL3[Verdeelsleutel],0))*$P49,"")</f>
        <v>#VALUE!</v>
      </c>
      <c r="R49" s="94" t="e">
        <f>IF(ISTEXT($J49),INDEX(VDSL3[Afnameklanten met KM/TT (%)],MATCH($J49,VDSL3[Verdeelsleutel],0))*$P49,"")</f>
        <v>#VALUE!</v>
      </c>
      <c r="S49" s="95">
        <f>IF(ISTEXT($H49),INDEX(VDSL1[Injectie (%)],MATCH($H49,VDSL1[Verdeelsleutel],0))*$K49,"")</f>
        <v>0</v>
      </c>
      <c r="T49" s="591"/>
      <c r="U49" s="1"/>
      <c r="V49" s="1"/>
      <c r="AG49" s="60"/>
    </row>
    <row r="50" spans="1:33" ht="15" customHeight="1">
      <c r="A50" s="81" t="s">
        <v>88</v>
      </c>
      <c r="B50" s="82" t="s">
        <v>83</v>
      </c>
      <c r="C50" s="82" t="s">
        <v>10</v>
      </c>
      <c r="D50" s="82" t="s">
        <v>67</v>
      </c>
      <c r="E50" s="82" t="s">
        <v>90</v>
      </c>
      <c r="F50" s="82" t="s">
        <v>92</v>
      </c>
      <c r="G50" s="83" t="s">
        <v>68</v>
      </c>
      <c r="H50" s="181" t="s">
        <v>239</v>
      </c>
      <c r="I50" s="182" t="s">
        <v>83</v>
      </c>
      <c r="J50" s="82" t="s">
        <v>83</v>
      </c>
      <c r="K50" s="901"/>
      <c r="L50" s="95">
        <f>IF(ISTEXT($H50),INDEX(VDSL1[Afname (%)],MATCH($H50,VDSL1[Verdeelsleutel],0))*$K50,"")</f>
        <v>0</v>
      </c>
      <c r="M50" s="93" t="e">
        <f>IF(ISTEXT($I50),INDEX(VDSL2[TRHS (%)],MATCH($I50,VDSL2[Verdeelsleutel],0))*$L50,"")</f>
        <v>#VALUE!</v>
      </c>
      <c r="N50" s="93" t="e">
        <f>IF(ISTEXT($I50),INDEX(VDSL2[MS (%)],MATCH($I50,VDSL2[Verdeelsleutel],0))*$L50,"")</f>
        <v>#VALUE!</v>
      </c>
      <c r="O50" s="93" t="e">
        <f>IF(ISTEXT($I50),INDEX(VDSL2[TRLS (%)],MATCH($I50,VDSL2[Verdeelsleutel],0))*$L50,"")</f>
        <v>#VALUE!</v>
      </c>
      <c r="P50" s="93" t="e">
        <f>IF(ISTEXT($I50),INDEX(VDSL2[LS (%)],MATCH($I50,VDSL2[Verdeelsleutel],0))*$L50,"")</f>
        <v>#VALUE!</v>
      </c>
      <c r="Q50" s="93" t="e">
        <f>IF(ISTEXT($J50),INDEX(VDSL3[Afnameklanten op LS met piekmeting (%)],MATCH($J50,VDSL3[Verdeelsleutel],0))*$P50,"")</f>
        <v>#VALUE!</v>
      </c>
      <c r="R50" s="94" t="e">
        <f>IF(ISTEXT($J50),INDEX(VDSL3[Afnameklanten met KM/TT (%)],MATCH($J50,VDSL3[Verdeelsleutel],0))*$P50,"")</f>
        <v>#VALUE!</v>
      </c>
      <c r="S50" s="95">
        <f>IF(ISTEXT($H50),INDEX(VDSL1[Injectie (%)],MATCH($H50,VDSL1[Verdeelsleutel],0))*$K50,"")</f>
        <v>0</v>
      </c>
      <c r="T50" s="591"/>
      <c r="U50" s="1"/>
      <c r="V50" s="1"/>
      <c r="AG50" s="60"/>
    </row>
    <row r="51" spans="1:33" ht="15" customHeight="1">
      <c r="A51" s="81" t="s">
        <v>88</v>
      </c>
      <c r="B51" s="82" t="s">
        <v>83</v>
      </c>
      <c r="C51" s="82" t="s">
        <v>23</v>
      </c>
      <c r="D51" s="82" t="s">
        <v>47</v>
      </c>
      <c r="E51" s="82" t="s">
        <v>90</v>
      </c>
      <c r="F51" s="82" t="s">
        <v>92</v>
      </c>
      <c r="G51" s="83" t="s">
        <v>542</v>
      </c>
      <c r="H51" s="181" t="s">
        <v>239</v>
      </c>
      <c r="I51" s="182" t="s">
        <v>83</v>
      </c>
      <c r="J51" s="82" t="s">
        <v>83</v>
      </c>
      <c r="K51" s="901"/>
      <c r="L51" s="95">
        <f>IF(ISTEXT($H51),INDEX(VDSL1[Afname (%)],MATCH($H51,VDSL1[Verdeelsleutel],0))*$K51,"")</f>
        <v>0</v>
      </c>
      <c r="M51" s="93" t="e">
        <f>IF(ISTEXT($I51),INDEX(VDSL2[TRHS (%)],MATCH($I51,VDSL2[Verdeelsleutel],0))*$L51,"")</f>
        <v>#VALUE!</v>
      </c>
      <c r="N51" s="93" t="e">
        <f>IF(ISTEXT($I51),INDEX(VDSL2[MS (%)],MATCH($I51,VDSL2[Verdeelsleutel],0))*$L51,"")</f>
        <v>#VALUE!</v>
      </c>
      <c r="O51" s="93" t="e">
        <f>IF(ISTEXT($I51),INDEX(VDSL2[TRLS (%)],MATCH($I51,VDSL2[Verdeelsleutel],0))*$L51,"")</f>
        <v>#VALUE!</v>
      </c>
      <c r="P51" s="93" t="e">
        <f>IF(ISTEXT($I51),INDEX(VDSL2[LS (%)],MATCH($I51,VDSL2[Verdeelsleutel],0))*$L51,"")</f>
        <v>#VALUE!</v>
      </c>
      <c r="Q51" s="93" t="e">
        <f>IF(ISTEXT($J51),INDEX(VDSL3[Afnameklanten op LS met piekmeting (%)],MATCH($J51,VDSL3[Verdeelsleutel],0))*$P51,"")</f>
        <v>#VALUE!</v>
      </c>
      <c r="R51" s="94" t="e">
        <f>IF(ISTEXT($J51),INDEX(VDSL3[Afnameklanten met KM/TT (%)],MATCH($J51,VDSL3[Verdeelsleutel],0))*$P51,"")</f>
        <v>#VALUE!</v>
      </c>
      <c r="S51" s="95">
        <f>IF(ISTEXT($H51),INDEX(VDSL1[Injectie (%)],MATCH($H51,VDSL1[Verdeelsleutel],0))*$K51,"")</f>
        <v>0</v>
      </c>
      <c r="T51" s="591"/>
      <c r="U51" s="1"/>
      <c r="V51" s="1"/>
      <c r="AG51" s="60"/>
    </row>
    <row r="52" spans="1:33" ht="15" customHeight="1">
      <c r="A52" s="81" t="s">
        <v>88</v>
      </c>
      <c r="B52" s="82" t="s">
        <v>83</v>
      </c>
      <c r="C52" s="82" t="s">
        <v>23</v>
      </c>
      <c r="D52" s="82" t="s">
        <v>47</v>
      </c>
      <c r="E52" s="82" t="s">
        <v>90</v>
      </c>
      <c r="F52" s="82" t="s">
        <v>92</v>
      </c>
      <c r="G52" s="83" t="s">
        <v>541</v>
      </c>
      <c r="H52" s="181" t="s">
        <v>239</v>
      </c>
      <c r="I52" s="182" t="s">
        <v>83</v>
      </c>
      <c r="J52" s="82" t="s">
        <v>83</v>
      </c>
      <c r="K52" s="901"/>
      <c r="L52" s="95">
        <f>IF(ISTEXT($H52),INDEX(VDSL1[Afname (%)],MATCH($H52,VDSL1[Verdeelsleutel],0))*$K52,"")</f>
        <v>0</v>
      </c>
      <c r="M52" s="93" t="e">
        <f>IF(ISTEXT($I52),INDEX(VDSL2[TRHS (%)],MATCH($I52,VDSL2[Verdeelsleutel],0))*$L52,"")</f>
        <v>#VALUE!</v>
      </c>
      <c r="N52" s="93" t="e">
        <f>IF(ISTEXT($I52),INDEX(VDSL2[MS (%)],MATCH($I52,VDSL2[Verdeelsleutel],0))*$L52,"")</f>
        <v>#VALUE!</v>
      </c>
      <c r="O52" s="93" t="e">
        <f>IF(ISTEXT($I52),INDEX(VDSL2[TRLS (%)],MATCH($I52,VDSL2[Verdeelsleutel],0))*$L52,"")</f>
        <v>#VALUE!</v>
      </c>
      <c r="P52" s="93" t="e">
        <f>IF(ISTEXT($I52),INDEX(VDSL2[LS (%)],MATCH($I52,VDSL2[Verdeelsleutel],0))*$L52,"")</f>
        <v>#VALUE!</v>
      </c>
      <c r="Q52" s="93" t="e">
        <f>IF(ISTEXT($J52),INDEX(VDSL3[Afnameklanten op LS met piekmeting (%)],MATCH($J52,VDSL3[Verdeelsleutel],0))*$P52,"")</f>
        <v>#VALUE!</v>
      </c>
      <c r="R52" s="94" t="e">
        <f>IF(ISTEXT($J52),INDEX(VDSL3[Afnameklanten met KM/TT (%)],MATCH($J52,VDSL3[Verdeelsleutel],0))*$P52,"")</f>
        <v>#VALUE!</v>
      </c>
      <c r="S52" s="95">
        <f>IF(ISTEXT($H52),INDEX(VDSL1[Injectie (%)],MATCH($H52,VDSL1[Verdeelsleutel],0))*$K52,"")</f>
        <v>0</v>
      </c>
      <c r="T52" s="591"/>
      <c r="U52" s="1"/>
      <c r="V52" s="1"/>
      <c r="AG52" s="60"/>
    </row>
    <row r="53" spans="1:33" ht="15" customHeight="1">
      <c r="A53" s="81" t="s">
        <v>88</v>
      </c>
      <c r="B53" s="82" t="s">
        <v>83</v>
      </c>
      <c r="C53" s="82" t="s">
        <v>23</v>
      </c>
      <c r="D53" s="82" t="s">
        <v>47</v>
      </c>
      <c r="E53" s="82" t="s">
        <v>90</v>
      </c>
      <c r="F53" s="82" t="s">
        <v>92</v>
      </c>
      <c r="G53" s="83" t="s">
        <v>47</v>
      </c>
      <c r="H53" s="181" t="s">
        <v>239</v>
      </c>
      <c r="I53" s="182" t="s">
        <v>83</v>
      </c>
      <c r="J53" s="82" t="s">
        <v>83</v>
      </c>
      <c r="K53" s="901"/>
      <c r="L53" s="95">
        <f>IF(ISTEXT($H53),INDEX(VDSL1[Afname (%)],MATCH($H53,VDSL1[Verdeelsleutel],0))*$K53,"")</f>
        <v>0</v>
      </c>
      <c r="M53" s="93" t="e">
        <f>IF(ISTEXT($I53),INDEX(VDSL2[TRHS (%)],MATCH($I53,VDSL2[Verdeelsleutel],0))*$L53,"")</f>
        <v>#VALUE!</v>
      </c>
      <c r="N53" s="93" t="e">
        <f>IF(ISTEXT($I53),INDEX(VDSL2[MS (%)],MATCH($I53,VDSL2[Verdeelsleutel],0))*$L53,"")</f>
        <v>#VALUE!</v>
      </c>
      <c r="O53" s="93" t="e">
        <f>IF(ISTEXT($I53),INDEX(VDSL2[TRLS (%)],MATCH($I53,VDSL2[Verdeelsleutel],0))*$L53,"")</f>
        <v>#VALUE!</v>
      </c>
      <c r="P53" s="93" t="e">
        <f>IF(ISTEXT($I53),INDEX(VDSL2[LS (%)],MATCH($I53,VDSL2[Verdeelsleutel],0))*$L53,"")</f>
        <v>#VALUE!</v>
      </c>
      <c r="Q53" s="93" t="e">
        <f>IF(ISTEXT($J53),INDEX(VDSL3[Afnameklanten op LS met piekmeting (%)],MATCH($J53,VDSL3[Verdeelsleutel],0))*$P53,"")</f>
        <v>#VALUE!</v>
      </c>
      <c r="R53" s="94" t="e">
        <f>IF(ISTEXT($J53),INDEX(VDSL3[Afnameklanten met KM/TT (%)],MATCH($J53,VDSL3[Verdeelsleutel],0))*$P53,"")</f>
        <v>#VALUE!</v>
      </c>
      <c r="S53" s="95">
        <f>IF(ISTEXT($H53),INDEX(VDSL1[Injectie (%)],MATCH($H53,VDSL1[Verdeelsleutel],0))*$K53,"")</f>
        <v>0</v>
      </c>
      <c r="T53" s="591"/>
      <c r="U53" s="1"/>
      <c r="V53" s="1"/>
      <c r="AG53" s="60"/>
    </row>
    <row r="54" spans="1:33" ht="15" customHeight="1">
      <c r="A54" s="81" t="s">
        <v>88</v>
      </c>
      <c r="B54" s="82" t="s">
        <v>13</v>
      </c>
      <c r="C54" s="82" t="s">
        <v>23</v>
      </c>
      <c r="D54" s="82" t="s">
        <v>72</v>
      </c>
      <c r="E54" s="82" t="s">
        <v>90</v>
      </c>
      <c r="F54" s="82" t="s">
        <v>92</v>
      </c>
      <c r="G54" s="379" t="s">
        <v>78</v>
      </c>
      <c r="H54" s="181" t="s">
        <v>239</v>
      </c>
      <c r="I54" s="182" t="s">
        <v>335</v>
      </c>
      <c r="J54" s="82"/>
      <c r="K54" s="901"/>
      <c r="L54" s="95">
        <f>IF(ISTEXT($H54),INDEX(VDSL1[Afname (%)],MATCH($H54,VDSL1[Verdeelsleutel],0))*$K54,"")</f>
        <v>0</v>
      </c>
      <c r="M54" s="93" t="e">
        <f>IF(ISTEXT($I54),INDEX(VDSL2[TRHS (%)],MATCH($I54,VDSL2[Verdeelsleutel],0))*$L54,"")</f>
        <v>#VALUE!</v>
      </c>
      <c r="N54" s="93" t="e">
        <f>IF(ISTEXT($I54),INDEX(VDSL2[MS (%)],MATCH($I54,VDSL2[Verdeelsleutel],0))*$L54,"")</f>
        <v>#VALUE!</v>
      </c>
      <c r="O54" s="93" t="e">
        <f>IF(ISTEXT($I54),INDEX(VDSL2[TRLS (%)],MATCH($I54,VDSL2[Verdeelsleutel],0))*$L54,"")</f>
        <v>#VALUE!</v>
      </c>
      <c r="P54" s="93" t="e">
        <f>IF(ISTEXT($I54),INDEX(VDSL2[LS (%)],MATCH($I54,VDSL2[Verdeelsleutel],0))*$L54,"")</f>
        <v>#DIV/0!</v>
      </c>
      <c r="Q54" s="93" t="str">
        <f>IF(ISTEXT($J54),INDEX(VDSL3[Afnameklanten op LS met piekmeting (%)],MATCH($J54,VDSL3[Verdeelsleutel],0))*$P54,"")</f>
        <v/>
      </c>
      <c r="R54" s="94" t="str">
        <f>IF(ISTEXT($J54),INDEX(VDSL3[Afnameklanten met KM/TT (%)],MATCH($J54,VDSL3[Verdeelsleutel],0))*$P54,"")</f>
        <v/>
      </c>
      <c r="S54" s="95">
        <f>IF(ISTEXT($H54),INDEX(VDSL1[Injectie (%)],MATCH($H54,VDSL1[Verdeelsleutel],0))*$K54,"")</f>
        <v>0</v>
      </c>
      <c r="T54" s="591"/>
      <c r="U54" s="1"/>
      <c r="V54" s="1"/>
      <c r="AG54" s="60"/>
    </row>
    <row r="55" spans="1:33" ht="15" customHeight="1">
      <c r="A55" s="81" t="s">
        <v>88</v>
      </c>
      <c r="B55" s="82" t="s">
        <v>13</v>
      </c>
      <c r="C55" s="82" t="s">
        <v>23</v>
      </c>
      <c r="D55" s="82" t="s">
        <v>72</v>
      </c>
      <c r="E55" s="82" t="s">
        <v>90</v>
      </c>
      <c r="F55" s="82" t="s">
        <v>92</v>
      </c>
      <c r="G55" s="83" t="s">
        <v>341</v>
      </c>
      <c r="H55" s="181" t="s">
        <v>239</v>
      </c>
      <c r="I55" s="182" t="s">
        <v>335</v>
      </c>
      <c r="J55" s="82"/>
      <c r="K55" s="901"/>
      <c r="L55" s="95">
        <f>IF(ISTEXT($H55),INDEX(VDSL1[Afname (%)],MATCH($H55,VDSL1[Verdeelsleutel],0))*$K55,"")</f>
        <v>0</v>
      </c>
      <c r="M55" s="93" t="e">
        <f>IF(ISTEXT($I55),INDEX(VDSL2[TRHS (%)],MATCH($I55,VDSL2[Verdeelsleutel],0))*$L55,"")</f>
        <v>#VALUE!</v>
      </c>
      <c r="N55" s="93" t="e">
        <f>IF(ISTEXT($I55),INDEX(VDSL2[MS (%)],MATCH($I55,VDSL2[Verdeelsleutel],0))*$L55,"")</f>
        <v>#VALUE!</v>
      </c>
      <c r="O55" s="93" t="e">
        <f>IF(ISTEXT($I55),INDEX(VDSL2[TRLS (%)],MATCH($I55,VDSL2[Verdeelsleutel],0))*$L55,"")</f>
        <v>#VALUE!</v>
      </c>
      <c r="P55" s="93" t="e">
        <f>IF(ISTEXT($I55),INDEX(VDSL2[LS (%)],MATCH($I55,VDSL2[Verdeelsleutel],0))*$L55,"")</f>
        <v>#DIV/0!</v>
      </c>
      <c r="Q55" s="93" t="str">
        <f>IF(ISTEXT($J55),INDEX(VDSL3[Afnameklanten op LS met piekmeting (%)],MATCH($J55,VDSL3[Verdeelsleutel],0))*$P55,"")</f>
        <v/>
      </c>
      <c r="R55" s="94" t="str">
        <f>IF(ISTEXT($J55),INDEX(VDSL3[Afnameklanten met KM/TT (%)],MATCH($J55,VDSL3[Verdeelsleutel],0))*$P55,"")</f>
        <v/>
      </c>
      <c r="S55" s="95">
        <f>IF(ISTEXT($H55),INDEX(VDSL1[Injectie (%)],MATCH($H55,VDSL1[Verdeelsleutel],0))*$K55,"")</f>
        <v>0</v>
      </c>
      <c r="T55" s="591"/>
      <c r="U55" s="1"/>
      <c r="V55" s="1"/>
      <c r="AG55" s="60"/>
    </row>
    <row r="56" spans="1:33" ht="15" customHeight="1">
      <c r="A56" s="81" t="s">
        <v>52</v>
      </c>
      <c r="B56" s="82" t="s">
        <v>13</v>
      </c>
      <c r="C56" s="82" t="s">
        <v>10</v>
      </c>
      <c r="D56" s="82" t="s">
        <v>72</v>
      </c>
      <c r="E56" s="82" t="s">
        <v>90</v>
      </c>
      <c r="F56" s="82" t="s">
        <v>92</v>
      </c>
      <c r="G56" s="83" t="s">
        <v>558</v>
      </c>
      <c r="H56" s="181" t="s">
        <v>239</v>
      </c>
      <c r="I56" s="182" t="s">
        <v>335</v>
      </c>
      <c r="J56" s="82"/>
      <c r="K56" s="901"/>
      <c r="L56" s="95">
        <f>IF(ISTEXT($H56),INDEX(VDSL1[Afname (%)],MATCH($H56,VDSL1[Verdeelsleutel],0))*$K56,"")</f>
        <v>0</v>
      </c>
      <c r="M56" s="93" t="e">
        <f>IF(ISTEXT($I56),INDEX(VDSL2[TRHS (%)],MATCH($I56,VDSL2[Verdeelsleutel],0))*$L56,"")</f>
        <v>#VALUE!</v>
      </c>
      <c r="N56" s="93" t="e">
        <f>IF(ISTEXT($I56),INDEX(VDSL2[MS (%)],MATCH($I56,VDSL2[Verdeelsleutel],0))*$L56,"")</f>
        <v>#VALUE!</v>
      </c>
      <c r="O56" s="93" t="e">
        <f>IF(ISTEXT($I56),INDEX(VDSL2[TRLS (%)],MATCH($I56,VDSL2[Verdeelsleutel],0))*$L56,"")</f>
        <v>#VALUE!</v>
      </c>
      <c r="P56" s="93" t="e">
        <f>IF(ISTEXT($I56),INDEX(VDSL2[LS (%)],MATCH($I56,VDSL2[Verdeelsleutel],0))*$L56,"")</f>
        <v>#DIV/0!</v>
      </c>
      <c r="Q56" s="93" t="str">
        <f>IF(ISTEXT($J56),INDEX(VDSL3[Afnameklanten op LS met piekmeting (%)],MATCH($J56,VDSL3[Verdeelsleutel],0))*$P56,"")</f>
        <v/>
      </c>
      <c r="R56" s="94" t="str">
        <f>IF(ISTEXT($J56),INDEX(VDSL3[Afnameklanten met KM/TT (%)],MATCH($J56,VDSL3[Verdeelsleutel],0))*$P56,"")</f>
        <v/>
      </c>
      <c r="S56" s="95">
        <f>IF(ISTEXT($H56),INDEX(VDSL1[Injectie (%)],MATCH($H56,VDSL1[Verdeelsleutel],0))*$K56,"")</f>
        <v>0</v>
      </c>
      <c r="T56" s="591"/>
      <c r="U56" s="1"/>
      <c r="V56" s="1"/>
      <c r="AG56" s="60"/>
    </row>
    <row r="57" spans="1:33" ht="15" customHeight="1">
      <c r="A57" s="81" t="s">
        <v>52</v>
      </c>
      <c r="B57" s="82" t="s">
        <v>13</v>
      </c>
      <c r="C57" s="82" t="s">
        <v>10</v>
      </c>
      <c r="D57" s="82" t="s">
        <v>72</v>
      </c>
      <c r="E57" s="82" t="s">
        <v>90</v>
      </c>
      <c r="F57" s="82" t="s">
        <v>92</v>
      </c>
      <c r="G57" s="83" t="s">
        <v>56</v>
      </c>
      <c r="H57" s="181" t="s">
        <v>239</v>
      </c>
      <c r="I57" s="182" t="s">
        <v>335</v>
      </c>
      <c r="J57" s="82"/>
      <c r="K57" s="901"/>
      <c r="L57" s="95">
        <f>IF(ISTEXT($H57),INDEX(VDSL1[Afname (%)],MATCH($H57,VDSL1[Verdeelsleutel],0))*$K57,"")</f>
        <v>0</v>
      </c>
      <c r="M57" s="93" t="e">
        <f>IF(ISTEXT($I57),INDEX(VDSL2[TRHS (%)],MATCH($I57,VDSL2[Verdeelsleutel],0))*$L57,"")</f>
        <v>#VALUE!</v>
      </c>
      <c r="N57" s="93" t="e">
        <f>IF(ISTEXT($I57),INDEX(VDSL2[MS (%)],MATCH($I57,VDSL2[Verdeelsleutel],0))*$L57,"")</f>
        <v>#VALUE!</v>
      </c>
      <c r="O57" s="93" t="e">
        <f>IF(ISTEXT($I57),INDEX(VDSL2[TRLS (%)],MATCH($I57,VDSL2[Verdeelsleutel],0))*$L57,"")</f>
        <v>#VALUE!</v>
      </c>
      <c r="P57" s="93" t="e">
        <f>IF(ISTEXT($I57),INDEX(VDSL2[LS (%)],MATCH($I57,VDSL2[Verdeelsleutel],0))*$L57,"")</f>
        <v>#DIV/0!</v>
      </c>
      <c r="Q57" s="93" t="str">
        <f>IF(ISTEXT($J57),INDEX(VDSL3[Afnameklanten op LS met piekmeting (%)],MATCH($J57,VDSL3[Verdeelsleutel],0))*$P57,"")</f>
        <v/>
      </c>
      <c r="R57" s="94" t="str">
        <f>IF(ISTEXT($J57),INDEX(VDSL3[Afnameklanten met KM/TT (%)],MATCH($J57,VDSL3[Verdeelsleutel],0))*$P57,"")</f>
        <v/>
      </c>
      <c r="S57" s="95">
        <f>IF(ISTEXT($H57),INDEX(VDSL1[Injectie (%)],MATCH($H57,VDSL1[Verdeelsleutel],0))*$K57,"")</f>
        <v>0</v>
      </c>
      <c r="T57" s="591"/>
      <c r="U57" s="1"/>
      <c r="V57" s="1"/>
      <c r="AG57" s="60"/>
    </row>
    <row r="58" spans="1:33" ht="15" customHeight="1">
      <c r="A58" s="81" t="s">
        <v>88</v>
      </c>
      <c r="B58" s="82" t="s">
        <v>84</v>
      </c>
      <c r="C58" s="82" t="s">
        <v>23</v>
      </c>
      <c r="D58" s="82" t="s">
        <v>27</v>
      </c>
      <c r="E58" s="82" t="s">
        <v>90</v>
      </c>
      <c r="F58" s="82" t="s">
        <v>92</v>
      </c>
      <c r="G58" s="83" t="s">
        <v>253</v>
      </c>
      <c r="H58" s="181" t="s">
        <v>84</v>
      </c>
      <c r="I58" s="182" t="s">
        <v>84</v>
      </c>
      <c r="J58" s="82" t="s">
        <v>84</v>
      </c>
      <c r="K58" s="901"/>
      <c r="L58" s="95" t="e">
        <f>IF(ISTEXT($H58),INDEX(VDSL1[Afname (%)],MATCH($H58,VDSL1[Verdeelsleutel],0))*$K58,"")</f>
        <v>#VALUE!</v>
      </c>
      <c r="M58" s="93" t="e">
        <f>IF(ISTEXT($I58),INDEX(VDSL2[TRHS (%)],MATCH($I58,VDSL2[Verdeelsleutel],0))*$L58,"")</f>
        <v>#VALUE!</v>
      </c>
      <c r="N58" s="93" t="e">
        <f>IF(ISTEXT($I58),INDEX(VDSL2[MS (%)],MATCH($I58,VDSL2[Verdeelsleutel],0))*$L58,"")</f>
        <v>#VALUE!</v>
      </c>
      <c r="O58" s="93" t="e">
        <f>IF(ISTEXT($I58),INDEX(VDSL2[TRLS (%)],MATCH($I58,VDSL2[Verdeelsleutel],0))*$L58,"")</f>
        <v>#VALUE!</v>
      </c>
      <c r="P58" s="93" t="e">
        <f>IF(ISTEXT($I58),INDEX(VDSL2[LS (%)],MATCH($I58,VDSL2[Verdeelsleutel],0))*$L58,"")</f>
        <v>#VALUE!</v>
      </c>
      <c r="Q58" s="93" t="e">
        <f>IF(ISTEXT($J58),INDEX(VDSL3[Afnameklanten op LS met piekmeting (%)],MATCH($J58,VDSL3[Verdeelsleutel],0))*$P58,"")</f>
        <v>#VALUE!</v>
      </c>
      <c r="R58" s="94" t="e">
        <f>IF(ISTEXT($J58),INDEX(VDSL3[Afnameklanten met KM/TT (%)],MATCH($J58,VDSL3[Verdeelsleutel],0))*$P58,"")</f>
        <v>#VALUE!</v>
      </c>
      <c r="S58" s="95" t="e">
        <f>IF(ISTEXT($H58),INDEX(VDSL1[Injectie (%)],MATCH($H58,VDSL1[Verdeelsleutel],0))*$K58,"")</f>
        <v>#VALUE!</v>
      </c>
      <c r="T58" s="591"/>
      <c r="U58" s="1"/>
      <c r="V58" s="1"/>
      <c r="AG58" s="60"/>
    </row>
    <row r="59" spans="1:33" ht="15" customHeight="1">
      <c r="A59" s="81" t="s">
        <v>88</v>
      </c>
      <c r="B59" s="82" t="s">
        <v>84</v>
      </c>
      <c r="C59" s="82" t="s">
        <v>23</v>
      </c>
      <c r="D59" s="82" t="s">
        <v>72</v>
      </c>
      <c r="E59" s="82" t="s">
        <v>90</v>
      </c>
      <c r="F59" s="82" t="s">
        <v>92</v>
      </c>
      <c r="G59" s="83" t="s">
        <v>50</v>
      </c>
      <c r="H59" s="181" t="s">
        <v>84</v>
      </c>
      <c r="I59" s="182" t="s">
        <v>84</v>
      </c>
      <c r="J59" s="82" t="s">
        <v>84</v>
      </c>
      <c r="K59" s="901"/>
      <c r="L59" s="95" t="e">
        <f>IF(ISTEXT($H59),INDEX(VDSL1[Afname (%)],MATCH($H59,VDSL1[Verdeelsleutel],0))*$K59,"")</f>
        <v>#VALUE!</v>
      </c>
      <c r="M59" s="93" t="e">
        <f>IF(ISTEXT($I59),INDEX(VDSL2[TRHS (%)],MATCH($I59,VDSL2[Verdeelsleutel],0))*$L59,"")</f>
        <v>#VALUE!</v>
      </c>
      <c r="N59" s="93" t="e">
        <f>IF(ISTEXT($I59),INDEX(VDSL2[MS (%)],MATCH($I59,VDSL2[Verdeelsleutel],0))*$L59,"")</f>
        <v>#VALUE!</v>
      </c>
      <c r="O59" s="93" t="e">
        <f>IF(ISTEXT($I59),INDEX(VDSL2[TRLS (%)],MATCH($I59,VDSL2[Verdeelsleutel],0))*$L59,"")</f>
        <v>#VALUE!</v>
      </c>
      <c r="P59" s="93" t="e">
        <f>IF(ISTEXT($I59),INDEX(VDSL2[LS (%)],MATCH($I59,VDSL2[Verdeelsleutel],0))*$L59,"")</f>
        <v>#VALUE!</v>
      </c>
      <c r="Q59" s="93" t="e">
        <f>IF(ISTEXT($J59),INDEX(VDSL3[Afnameklanten op LS met piekmeting (%)],MATCH($J59,VDSL3[Verdeelsleutel],0))*$P59,"")</f>
        <v>#VALUE!</v>
      </c>
      <c r="R59" s="94" t="e">
        <f>IF(ISTEXT($J59),INDEX(VDSL3[Afnameklanten met KM/TT (%)],MATCH($J59,VDSL3[Verdeelsleutel],0))*$P59,"")</f>
        <v>#VALUE!</v>
      </c>
      <c r="S59" s="95" t="e">
        <f>IF(ISTEXT($H59),INDEX(VDSL1[Injectie (%)],MATCH($H59,VDSL1[Verdeelsleutel],0))*$K59,"")</f>
        <v>#VALUE!</v>
      </c>
      <c r="T59" s="591"/>
      <c r="U59" s="1"/>
      <c r="V59" s="1"/>
      <c r="AG59" s="60"/>
    </row>
    <row r="60" spans="1:33" ht="15" customHeight="1">
      <c r="A60" s="81" t="s">
        <v>88</v>
      </c>
      <c r="B60" s="82" t="s">
        <v>84</v>
      </c>
      <c r="C60" s="82" t="s">
        <v>23</v>
      </c>
      <c r="D60" s="82" t="s">
        <v>72</v>
      </c>
      <c r="E60" s="82" t="s">
        <v>90</v>
      </c>
      <c r="F60" s="82" t="s">
        <v>92</v>
      </c>
      <c r="G60" s="83" t="s">
        <v>341</v>
      </c>
      <c r="H60" s="181" t="s">
        <v>84</v>
      </c>
      <c r="I60" s="182" t="s">
        <v>84</v>
      </c>
      <c r="J60" s="82" t="s">
        <v>84</v>
      </c>
      <c r="K60" s="901"/>
      <c r="L60" s="95" t="e">
        <f>IF(ISTEXT($H60),INDEX(VDSL1[Afname (%)],MATCH($H60,VDSL1[Verdeelsleutel],0))*$K60,"")</f>
        <v>#VALUE!</v>
      </c>
      <c r="M60" s="93" t="e">
        <f>IF(ISTEXT($I60),INDEX(VDSL2[TRHS (%)],MATCH($I60,VDSL2[Verdeelsleutel],0))*$L60,"")</f>
        <v>#VALUE!</v>
      </c>
      <c r="N60" s="93" t="e">
        <f>IF(ISTEXT($I60),INDEX(VDSL2[MS (%)],MATCH($I60,VDSL2[Verdeelsleutel],0))*$L60,"")</f>
        <v>#VALUE!</v>
      </c>
      <c r="O60" s="93" t="e">
        <f>IF(ISTEXT($I60),INDEX(VDSL2[TRLS (%)],MATCH($I60,VDSL2[Verdeelsleutel],0))*$L60,"")</f>
        <v>#VALUE!</v>
      </c>
      <c r="P60" s="93" t="e">
        <f>IF(ISTEXT($I60),INDEX(VDSL2[LS (%)],MATCH($I60,VDSL2[Verdeelsleutel],0))*$L60,"")</f>
        <v>#VALUE!</v>
      </c>
      <c r="Q60" s="93" t="e">
        <f>IF(ISTEXT($J60),INDEX(VDSL3[Afnameklanten op LS met piekmeting (%)],MATCH($J60,VDSL3[Verdeelsleutel],0))*$P60,"")</f>
        <v>#VALUE!</v>
      </c>
      <c r="R60" s="94" t="e">
        <f>IF(ISTEXT($J60),INDEX(VDSL3[Afnameklanten met KM/TT (%)],MATCH($J60,VDSL3[Verdeelsleutel],0))*$P60,"")</f>
        <v>#VALUE!</v>
      </c>
      <c r="S60" s="95" t="e">
        <f>IF(ISTEXT($H60),INDEX(VDSL1[Injectie (%)],MATCH($H60,VDSL1[Verdeelsleutel],0))*$K60,"")</f>
        <v>#VALUE!</v>
      </c>
      <c r="T60" s="591"/>
      <c r="U60" s="1"/>
      <c r="V60" s="1"/>
      <c r="AG60" s="60"/>
    </row>
    <row r="61" spans="1:33" ht="15" customHeight="1">
      <c r="A61" s="81" t="s">
        <v>88</v>
      </c>
      <c r="B61" s="82" t="s">
        <v>85</v>
      </c>
      <c r="C61" s="82" t="s">
        <v>23</v>
      </c>
      <c r="D61" s="82" t="s">
        <v>72</v>
      </c>
      <c r="E61" s="82" t="s">
        <v>90</v>
      </c>
      <c r="F61" s="82" t="s">
        <v>92</v>
      </c>
      <c r="G61" s="83" t="s">
        <v>73</v>
      </c>
      <c r="H61" s="181" t="s">
        <v>239</v>
      </c>
      <c r="I61" s="182" t="s">
        <v>230</v>
      </c>
      <c r="J61" s="82" t="s">
        <v>14</v>
      </c>
      <c r="K61" s="901"/>
      <c r="L61" s="95">
        <f>IF(ISTEXT($H61),INDEX(VDSL1[Afname (%)],MATCH($H61,VDSL1[Verdeelsleutel],0))*$K61,"")</f>
        <v>0</v>
      </c>
      <c r="M61" s="93">
        <f>IF(ISTEXT($I61),INDEX(VDSL2[TRHS (%)],MATCH($I61,VDSL2[Verdeelsleutel],0))*$L61,"")</f>
        <v>0</v>
      </c>
      <c r="N61" s="93">
        <f>IF(ISTEXT($I61),INDEX(VDSL2[MS (%)],MATCH($I61,VDSL2[Verdeelsleutel],0))*$L61,"")</f>
        <v>0</v>
      </c>
      <c r="O61" s="93">
        <f>IF(ISTEXT($I61),INDEX(VDSL2[TRLS (%)],MATCH($I61,VDSL2[Verdeelsleutel],0))*$L61,"")</f>
        <v>0</v>
      </c>
      <c r="P61" s="93">
        <f>IF(ISTEXT($I61),INDEX(VDSL2[LS (%)],MATCH($I61,VDSL2[Verdeelsleutel],0))*$L61,"")</f>
        <v>0</v>
      </c>
      <c r="Q61" s="93" t="e">
        <f>IF(ISTEXT($J61),INDEX(VDSL3[Afnameklanten op LS met piekmeting (%)],MATCH($J61,VDSL3[Verdeelsleutel],0))*$P61,"")</f>
        <v>#DIV/0!</v>
      </c>
      <c r="R61" s="94" t="e">
        <f>IF(ISTEXT($J61),INDEX(VDSL3[Afnameklanten met KM/TT (%)],MATCH($J61,VDSL3[Verdeelsleutel],0))*$P61,"")</f>
        <v>#DIV/0!</v>
      </c>
      <c r="S61" s="95">
        <f>IF(ISTEXT($H61),INDEX(VDSL1[Injectie (%)],MATCH($H61,VDSL1[Verdeelsleutel],0))*$K61,"")</f>
        <v>0</v>
      </c>
      <c r="T61" s="591"/>
      <c r="U61" s="1"/>
      <c r="V61" s="1"/>
      <c r="AG61" s="60"/>
    </row>
    <row r="62" spans="1:33" ht="15" customHeight="1">
      <c r="A62" s="81" t="s">
        <v>88</v>
      </c>
      <c r="B62" s="82" t="s">
        <v>85</v>
      </c>
      <c r="C62" s="82" t="s">
        <v>23</v>
      </c>
      <c r="D62" s="82" t="s">
        <v>72</v>
      </c>
      <c r="E62" s="82" t="s">
        <v>90</v>
      </c>
      <c r="F62" s="82" t="s">
        <v>92</v>
      </c>
      <c r="G62" s="83" t="s">
        <v>74</v>
      </c>
      <c r="H62" s="181" t="s">
        <v>239</v>
      </c>
      <c r="I62" s="182" t="s">
        <v>230</v>
      </c>
      <c r="J62" s="82" t="s">
        <v>14</v>
      </c>
      <c r="K62" s="901"/>
      <c r="L62" s="95">
        <f>IF(ISTEXT($H62),INDEX(VDSL1[Afname (%)],MATCH($H62,VDSL1[Verdeelsleutel],0))*$K62,"")</f>
        <v>0</v>
      </c>
      <c r="M62" s="93">
        <f>IF(ISTEXT($I62),INDEX(VDSL2[TRHS (%)],MATCH($I62,VDSL2[Verdeelsleutel],0))*$L62,"")</f>
        <v>0</v>
      </c>
      <c r="N62" s="93">
        <f>IF(ISTEXT($I62),INDEX(VDSL2[MS (%)],MATCH($I62,VDSL2[Verdeelsleutel],0))*$L62,"")</f>
        <v>0</v>
      </c>
      <c r="O62" s="93">
        <f>IF(ISTEXT($I62),INDEX(VDSL2[TRLS (%)],MATCH($I62,VDSL2[Verdeelsleutel],0))*$L62,"")</f>
        <v>0</v>
      </c>
      <c r="P62" s="93">
        <f>IF(ISTEXT($I62),INDEX(VDSL2[LS (%)],MATCH($I62,VDSL2[Verdeelsleutel],0))*$L62,"")</f>
        <v>0</v>
      </c>
      <c r="Q62" s="93" t="e">
        <f>IF(ISTEXT($J62),INDEX(VDSL3[Afnameklanten op LS met piekmeting (%)],MATCH($J62,VDSL3[Verdeelsleutel],0))*$P62,"")</f>
        <v>#DIV/0!</v>
      </c>
      <c r="R62" s="94" t="e">
        <f>IF(ISTEXT($J62),INDEX(VDSL3[Afnameklanten met KM/TT (%)],MATCH($J62,VDSL3[Verdeelsleutel],0))*$P62,"")</f>
        <v>#DIV/0!</v>
      </c>
      <c r="S62" s="95">
        <f>IF(ISTEXT($H62),INDEX(VDSL1[Injectie (%)],MATCH($H62,VDSL1[Verdeelsleutel],0))*$K62,"")</f>
        <v>0</v>
      </c>
      <c r="T62" s="591"/>
      <c r="U62" s="1"/>
      <c r="V62" s="1"/>
      <c r="AG62" s="60"/>
    </row>
    <row r="63" spans="1:33" ht="15" customHeight="1">
      <c r="A63" s="81" t="s">
        <v>88</v>
      </c>
      <c r="B63" s="82" t="s">
        <v>85</v>
      </c>
      <c r="C63" s="82" t="s">
        <v>23</v>
      </c>
      <c r="D63" s="82" t="s">
        <v>72</v>
      </c>
      <c r="E63" s="82" t="s">
        <v>90</v>
      </c>
      <c r="F63" s="82" t="s">
        <v>92</v>
      </c>
      <c r="G63" s="83" t="s">
        <v>75</v>
      </c>
      <c r="H63" s="181" t="s">
        <v>239</v>
      </c>
      <c r="I63" s="182" t="s">
        <v>258</v>
      </c>
      <c r="J63" s="82" t="s">
        <v>14</v>
      </c>
      <c r="K63" s="901"/>
      <c r="L63" s="95">
        <f>IF(ISTEXT($H63),INDEX(VDSL1[Afname (%)],MATCH($H63,VDSL1[Verdeelsleutel],0))*$K63,"")</f>
        <v>0</v>
      </c>
      <c r="M63" s="93" t="e">
        <f>IF(ISTEXT($I63),INDEX(VDSL2[TRHS (%)],MATCH($I63,VDSL2[Verdeelsleutel],0))*$L63,"")</f>
        <v>#VALUE!</v>
      </c>
      <c r="N63" s="93" t="e">
        <f>IF(ISTEXT($I63),INDEX(VDSL2[MS (%)],MATCH($I63,VDSL2[Verdeelsleutel],0))*$L63,"")</f>
        <v>#VALUE!</v>
      </c>
      <c r="O63" s="93" t="e">
        <f>IF(ISTEXT($I63),INDEX(VDSL2[TRLS (%)],MATCH($I63,VDSL2[Verdeelsleutel],0))*$L63,"")</f>
        <v>#VALUE!</v>
      </c>
      <c r="P63" s="93" t="e">
        <f>IF(ISTEXT($I63),INDEX(VDSL2[LS (%)],MATCH($I63,VDSL2[Verdeelsleutel],0))*$L63,"")</f>
        <v>#VALUE!</v>
      </c>
      <c r="Q63" s="93" t="e">
        <f>IF(ISTEXT($J63),INDEX(VDSL3[Afnameklanten op LS met piekmeting (%)],MATCH($J63,VDSL3[Verdeelsleutel],0))*$P63,"")</f>
        <v>#DIV/0!</v>
      </c>
      <c r="R63" s="94" t="e">
        <f>IF(ISTEXT($J63),INDEX(VDSL3[Afnameklanten met KM/TT (%)],MATCH($J63,VDSL3[Verdeelsleutel],0))*$P63,"")</f>
        <v>#DIV/0!</v>
      </c>
      <c r="S63" s="95">
        <f>IF(ISTEXT($H63),INDEX(VDSL1[Injectie (%)],MATCH($H63,VDSL1[Verdeelsleutel],0))*$K63,"")</f>
        <v>0</v>
      </c>
      <c r="T63" s="591"/>
      <c r="U63" s="1"/>
      <c r="V63" s="1"/>
      <c r="AG63" s="60"/>
    </row>
    <row r="64" spans="1:33" ht="15" customHeight="1">
      <c r="A64" s="81" t="s">
        <v>88</v>
      </c>
      <c r="B64" s="82" t="s">
        <v>85</v>
      </c>
      <c r="C64" s="82" t="s">
        <v>23</v>
      </c>
      <c r="D64" s="82" t="s">
        <v>72</v>
      </c>
      <c r="E64" s="82" t="s">
        <v>90</v>
      </c>
      <c r="F64" s="82" t="s">
        <v>92</v>
      </c>
      <c r="G64" s="83" t="s">
        <v>154</v>
      </c>
      <c r="H64" s="181" t="s">
        <v>239</v>
      </c>
      <c r="I64" s="182" t="s">
        <v>258</v>
      </c>
      <c r="J64" s="82" t="s">
        <v>14</v>
      </c>
      <c r="K64" s="901"/>
      <c r="L64" s="95">
        <f>IF(ISTEXT($H64),INDEX(VDSL1[Afname (%)],MATCH($H64,VDSL1[Verdeelsleutel],0))*$K64,"")</f>
        <v>0</v>
      </c>
      <c r="M64" s="93" t="e">
        <f>IF(ISTEXT($I64),INDEX(VDSL2[TRHS (%)],MATCH($I64,VDSL2[Verdeelsleutel],0))*$L64,"")</f>
        <v>#VALUE!</v>
      </c>
      <c r="N64" s="93" t="e">
        <f>IF(ISTEXT($I64),INDEX(VDSL2[MS (%)],MATCH($I64,VDSL2[Verdeelsleutel],0))*$L64,"")</f>
        <v>#VALUE!</v>
      </c>
      <c r="O64" s="93" t="e">
        <f>IF(ISTEXT($I64),INDEX(VDSL2[TRLS (%)],MATCH($I64,VDSL2[Verdeelsleutel],0))*$L64,"")</f>
        <v>#VALUE!</v>
      </c>
      <c r="P64" s="93" t="e">
        <f>IF(ISTEXT($I64),INDEX(VDSL2[LS (%)],MATCH($I64,VDSL2[Verdeelsleutel],0))*$L64,"")</f>
        <v>#VALUE!</v>
      </c>
      <c r="Q64" s="93" t="e">
        <f>IF(ISTEXT($J64),INDEX(VDSL3[Afnameklanten op LS met piekmeting (%)],MATCH($J64,VDSL3[Verdeelsleutel],0))*$P64,"")</f>
        <v>#DIV/0!</v>
      </c>
      <c r="R64" s="94" t="e">
        <f>IF(ISTEXT($J64),INDEX(VDSL3[Afnameklanten met KM/TT (%)],MATCH($J64,VDSL3[Verdeelsleutel],0))*$P64,"")</f>
        <v>#DIV/0!</v>
      </c>
      <c r="S64" s="95">
        <f>IF(ISTEXT($H64),INDEX(VDSL1[Injectie (%)],MATCH($H64,VDSL1[Verdeelsleutel],0))*$K64,"")</f>
        <v>0</v>
      </c>
      <c r="T64" s="591"/>
      <c r="U64" s="1"/>
      <c r="V64" s="1"/>
      <c r="AG64" s="60"/>
    </row>
    <row r="65" spans="1:33" ht="15" customHeight="1">
      <c r="A65" s="81" t="s">
        <v>88</v>
      </c>
      <c r="B65" s="82" t="s">
        <v>85</v>
      </c>
      <c r="C65" s="82" t="s">
        <v>10</v>
      </c>
      <c r="D65" s="82" t="s">
        <v>72</v>
      </c>
      <c r="E65" s="82" t="s">
        <v>90</v>
      </c>
      <c r="F65" s="82" t="s">
        <v>92</v>
      </c>
      <c r="G65" s="83" t="s">
        <v>154</v>
      </c>
      <c r="H65" s="181" t="s">
        <v>239</v>
      </c>
      <c r="I65" s="182" t="s">
        <v>258</v>
      </c>
      <c r="J65" s="82" t="s">
        <v>14</v>
      </c>
      <c r="K65" s="901"/>
      <c r="L65" s="95">
        <f>IF(ISTEXT($H65),INDEX(VDSL1[Afname (%)],MATCH($H65,VDSL1[Verdeelsleutel],0))*$K65,"")</f>
        <v>0</v>
      </c>
      <c r="M65" s="93" t="e">
        <f>IF(ISTEXT($I65),INDEX(VDSL2[TRHS (%)],MATCH($I65,VDSL2[Verdeelsleutel],0))*$L65,"")</f>
        <v>#VALUE!</v>
      </c>
      <c r="N65" s="93" t="e">
        <f>IF(ISTEXT($I65),INDEX(VDSL2[MS (%)],MATCH($I65,VDSL2[Verdeelsleutel],0))*$L65,"")</f>
        <v>#VALUE!</v>
      </c>
      <c r="O65" s="93" t="e">
        <f>IF(ISTEXT($I65),INDEX(VDSL2[TRLS (%)],MATCH($I65,VDSL2[Verdeelsleutel],0))*$L65,"")</f>
        <v>#VALUE!</v>
      </c>
      <c r="P65" s="93" t="e">
        <f>IF(ISTEXT($I65),INDEX(VDSL2[LS (%)],MATCH($I65,VDSL2[Verdeelsleutel],0))*$L65,"")</f>
        <v>#VALUE!</v>
      </c>
      <c r="Q65" s="93" t="e">
        <f>IF(ISTEXT($J65),INDEX(VDSL3[Afnameklanten op LS met piekmeting (%)],MATCH($J65,VDSL3[Verdeelsleutel],0))*$P65,"")</f>
        <v>#DIV/0!</v>
      </c>
      <c r="R65" s="94" t="e">
        <f>IF(ISTEXT($J65),INDEX(VDSL3[Afnameklanten met KM/TT (%)],MATCH($J65,VDSL3[Verdeelsleutel],0))*$P65,"")</f>
        <v>#DIV/0!</v>
      </c>
      <c r="S65" s="95">
        <f>IF(ISTEXT($H65),INDEX(VDSL1[Injectie (%)],MATCH($H65,VDSL1[Verdeelsleutel],0))*$K65,"")</f>
        <v>0</v>
      </c>
      <c r="T65" s="591"/>
      <c r="U65" s="1"/>
      <c r="V65" s="1"/>
      <c r="AG65" s="60"/>
    </row>
    <row r="66" spans="1:33" ht="15" customHeight="1">
      <c r="A66" s="81" t="s">
        <v>88</v>
      </c>
      <c r="B66" s="82" t="s">
        <v>85</v>
      </c>
      <c r="C66" s="82" t="s">
        <v>10</v>
      </c>
      <c r="D66" s="82" t="s">
        <v>72</v>
      </c>
      <c r="E66" s="82" t="s">
        <v>90</v>
      </c>
      <c r="F66" s="82" t="s">
        <v>92</v>
      </c>
      <c r="G66" s="83" t="s">
        <v>77</v>
      </c>
      <c r="H66" s="181" t="s">
        <v>239</v>
      </c>
      <c r="I66" s="182" t="s">
        <v>258</v>
      </c>
      <c r="J66" s="82" t="s">
        <v>14</v>
      </c>
      <c r="K66" s="901"/>
      <c r="L66" s="95">
        <f>IF(ISTEXT($H66),INDEX(VDSL1[Afname (%)],MATCH($H66,VDSL1[Verdeelsleutel],0))*$K66,"")</f>
        <v>0</v>
      </c>
      <c r="M66" s="93" t="e">
        <f>IF(ISTEXT($I66),INDEX(VDSL2[TRHS (%)],MATCH($I66,VDSL2[Verdeelsleutel],0))*$L66,"")</f>
        <v>#VALUE!</v>
      </c>
      <c r="N66" s="93" t="e">
        <f>IF(ISTEXT($I66),INDEX(VDSL2[MS (%)],MATCH($I66,VDSL2[Verdeelsleutel],0))*$L66,"")</f>
        <v>#VALUE!</v>
      </c>
      <c r="O66" s="93" t="e">
        <f>IF(ISTEXT($I66),INDEX(VDSL2[TRLS (%)],MATCH($I66,VDSL2[Verdeelsleutel],0))*$L66,"")</f>
        <v>#VALUE!</v>
      </c>
      <c r="P66" s="93" t="e">
        <f>IF(ISTEXT($I66),INDEX(VDSL2[LS (%)],MATCH($I66,VDSL2[Verdeelsleutel],0))*$L66,"")</f>
        <v>#VALUE!</v>
      </c>
      <c r="Q66" s="93" t="e">
        <f>IF(ISTEXT($J66),INDEX(VDSL3[Afnameklanten op LS met piekmeting (%)],MATCH($J66,VDSL3[Verdeelsleutel],0))*$P66,"")</f>
        <v>#DIV/0!</v>
      </c>
      <c r="R66" s="94" t="e">
        <f>IF(ISTEXT($J66),INDEX(VDSL3[Afnameklanten met KM/TT (%)],MATCH($J66,VDSL3[Verdeelsleutel],0))*$P66,"")</f>
        <v>#DIV/0!</v>
      </c>
      <c r="S66" s="95">
        <f>IF(ISTEXT($H66),INDEX(VDSL1[Injectie (%)],MATCH($H66,VDSL1[Verdeelsleutel],0))*$K66,"")</f>
        <v>0</v>
      </c>
      <c r="T66" s="591"/>
      <c r="U66" s="1"/>
      <c r="V66" s="1"/>
      <c r="AG66" s="60"/>
    </row>
    <row r="67" spans="1:33" ht="15" customHeight="1">
      <c r="A67" s="81" t="s">
        <v>88</v>
      </c>
      <c r="B67" s="82" t="s">
        <v>85</v>
      </c>
      <c r="C67" s="82" t="s">
        <v>23</v>
      </c>
      <c r="D67" s="82" t="s">
        <v>72</v>
      </c>
      <c r="E67" s="82" t="s">
        <v>90</v>
      </c>
      <c r="F67" s="82" t="s">
        <v>92</v>
      </c>
      <c r="G67" s="83" t="s">
        <v>76</v>
      </c>
      <c r="H67" s="181" t="s">
        <v>239</v>
      </c>
      <c r="I67" s="182" t="s">
        <v>258</v>
      </c>
      <c r="J67" s="82" t="s">
        <v>14</v>
      </c>
      <c r="K67" s="901"/>
      <c r="L67" s="95">
        <f>IF(ISTEXT($H67),INDEX(VDSL1[Afname (%)],MATCH($H67,VDSL1[Verdeelsleutel],0))*$K67,"")</f>
        <v>0</v>
      </c>
      <c r="M67" s="93" t="e">
        <f>IF(ISTEXT($I67),INDEX(VDSL2[TRHS (%)],MATCH($I67,VDSL2[Verdeelsleutel],0))*$L67,"")</f>
        <v>#VALUE!</v>
      </c>
      <c r="N67" s="93" t="e">
        <f>IF(ISTEXT($I67),INDEX(VDSL2[MS (%)],MATCH($I67,VDSL2[Verdeelsleutel],0))*$L67,"")</f>
        <v>#VALUE!</v>
      </c>
      <c r="O67" s="93" t="e">
        <f>IF(ISTEXT($I67),INDEX(VDSL2[TRLS (%)],MATCH($I67,VDSL2[Verdeelsleutel],0))*$L67,"")</f>
        <v>#VALUE!</v>
      </c>
      <c r="P67" s="93" t="e">
        <f>IF(ISTEXT($I67),INDEX(VDSL2[LS (%)],MATCH($I67,VDSL2[Verdeelsleutel],0))*$L67,"")</f>
        <v>#VALUE!</v>
      </c>
      <c r="Q67" s="93" t="e">
        <f>IF(ISTEXT($J67),INDEX(VDSL3[Afnameklanten op LS met piekmeting (%)],MATCH($J67,VDSL3[Verdeelsleutel],0))*$P67,"")</f>
        <v>#DIV/0!</v>
      </c>
      <c r="R67" s="94" t="e">
        <f>IF(ISTEXT($J67),INDEX(VDSL3[Afnameklanten met KM/TT (%)],MATCH($J67,VDSL3[Verdeelsleutel],0))*$P67,"")</f>
        <v>#DIV/0!</v>
      </c>
      <c r="S67" s="95">
        <f>IF(ISTEXT($H67),INDEX(VDSL1[Injectie (%)],MATCH($H67,VDSL1[Verdeelsleutel],0))*$K67,"")</f>
        <v>0</v>
      </c>
      <c r="T67" s="591"/>
      <c r="U67" s="1"/>
      <c r="V67" s="1"/>
      <c r="AG67" s="60"/>
    </row>
    <row r="68" spans="1:33" ht="15" customHeight="1">
      <c r="A68" s="81" t="s">
        <v>88</v>
      </c>
      <c r="B68" s="82" t="s">
        <v>85</v>
      </c>
      <c r="C68" s="82" t="s">
        <v>10</v>
      </c>
      <c r="D68" s="82" t="s">
        <v>67</v>
      </c>
      <c r="E68" s="82" t="s">
        <v>90</v>
      </c>
      <c r="F68" s="82" t="s">
        <v>92</v>
      </c>
      <c r="G68" s="379" t="s">
        <v>69</v>
      </c>
      <c r="H68" s="181" t="s">
        <v>239</v>
      </c>
      <c r="I68" s="182" t="s">
        <v>18</v>
      </c>
      <c r="J68" s="82" t="s">
        <v>14</v>
      </c>
      <c r="K68" s="901"/>
      <c r="L68" s="95">
        <f>IF(ISTEXT($H68),INDEX(VDSL1[Afname (%)],MATCH($H68,VDSL1[Verdeelsleutel],0))*$K68,"")</f>
        <v>0</v>
      </c>
      <c r="M68" s="93" t="e">
        <f>IF(ISTEXT($I68),INDEX(VDSL2[TRHS (%)],MATCH($I68,VDSL2[Verdeelsleutel],0))*$L68,"")</f>
        <v>#VALUE!</v>
      </c>
      <c r="N68" s="93" t="e">
        <f>IF(ISTEXT($I68),INDEX(VDSL2[MS (%)],MATCH($I68,VDSL2[Verdeelsleutel],0))*$L68,"")</f>
        <v>#VALUE!</v>
      </c>
      <c r="O68" s="93" t="e">
        <f>IF(ISTEXT($I68),INDEX(VDSL2[TRLS (%)],MATCH($I68,VDSL2[Verdeelsleutel],0))*$L68,"")</f>
        <v>#VALUE!</v>
      </c>
      <c r="P68" s="93" t="e">
        <f>IF(ISTEXT($I68),INDEX(VDSL2[LS (%)],MATCH($I68,VDSL2[Verdeelsleutel],0))*$L68,"")</f>
        <v>#VALUE!</v>
      </c>
      <c r="Q68" s="93" t="e">
        <f>IF(ISTEXT($J68),INDEX(VDSL3[Afnameklanten op LS met piekmeting (%)],MATCH($J68,VDSL3[Verdeelsleutel],0))*$P68,"")</f>
        <v>#DIV/0!</v>
      </c>
      <c r="R68" s="94" t="e">
        <f>IF(ISTEXT($J68),INDEX(VDSL3[Afnameklanten met KM/TT (%)],MATCH($J68,VDSL3[Verdeelsleutel],0))*$P68,"")</f>
        <v>#DIV/0!</v>
      </c>
      <c r="S68" s="95">
        <f>IF(ISTEXT($H68),INDEX(VDSL1[Injectie (%)],MATCH($H68,VDSL1[Verdeelsleutel],0))*$K68,"")</f>
        <v>0</v>
      </c>
      <c r="T68" s="591"/>
      <c r="U68" s="1"/>
      <c r="V68" s="1"/>
      <c r="AG68" s="60"/>
    </row>
    <row r="69" spans="1:33" ht="15" customHeight="1">
      <c r="A69" s="81" t="s">
        <v>88</v>
      </c>
      <c r="B69" s="82" t="s">
        <v>9</v>
      </c>
      <c r="C69" s="82" t="s">
        <v>10</v>
      </c>
      <c r="D69" s="82" t="s">
        <v>72</v>
      </c>
      <c r="E69" s="82" t="s">
        <v>90</v>
      </c>
      <c r="F69" s="82" t="s">
        <v>92</v>
      </c>
      <c r="G69" s="83" t="s">
        <v>80</v>
      </c>
      <c r="H69" s="181" t="s">
        <v>239</v>
      </c>
      <c r="I69" s="182" t="s">
        <v>259</v>
      </c>
      <c r="J69" s="82" t="s">
        <v>14</v>
      </c>
      <c r="K69" s="901"/>
      <c r="L69" s="95">
        <f>IF(ISTEXT($H69),INDEX(VDSL1[Afname (%)],MATCH($H69,VDSL1[Verdeelsleutel],0))*$K69,"")</f>
        <v>0</v>
      </c>
      <c r="M69" s="93" t="e">
        <f>IF(ISTEXT($I69),INDEX(VDSL2[TRHS (%)],MATCH($I69,VDSL2[Verdeelsleutel],0))*$L69,"")</f>
        <v>#VALUE!</v>
      </c>
      <c r="N69" s="93" t="e">
        <f>IF(ISTEXT($I69),INDEX(VDSL2[MS (%)],MATCH($I69,VDSL2[Verdeelsleutel],0))*$L69,"")</f>
        <v>#VALUE!</v>
      </c>
      <c r="O69" s="93" t="e">
        <f>IF(ISTEXT($I69),INDEX(VDSL2[TRLS (%)],MATCH($I69,VDSL2[Verdeelsleutel],0))*$L69,"")</f>
        <v>#VALUE!</v>
      </c>
      <c r="P69" s="93" t="e">
        <f>IF(ISTEXT($I69),INDEX(VDSL2[LS (%)],MATCH($I69,VDSL2[Verdeelsleutel],0))*$L69,"")</f>
        <v>#VALUE!</v>
      </c>
      <c r="Q69" s="93" t="e">
        <f>IF(ISTEXT($J69),INDEX(VDSL3[Afnameklanten op LS met piekmeting (%)],MATCH($J69,VDSL3[Verdeelsleutel],0))*$P69,"")</f>
        <v>#DIV/0!</v>
      </c>
      <c r="R69" s="94" t="e">
        <f>IF(ISTEXT($J69),INDEX(VDSL3[Afnameklanten met KM/TT (%)],MATCH($J69,VDSL3[Verdeelsleutel],0))*$P69,"")</f>
        <v>#DIV/0!</v>
      </c>
      <c r="S69" s="95">
        <f>IF(ISTEXT($H69),INDEX(VDSL1[Injectie (%)],MATCH($H69,VDSL1[Verdeelsleutel],0))*$K69,"")</f>
        <v>0</v>
      </c>
      <c r="T69" s="591"/>
      <c r="U69" s="1"/>
      <c r="V69" s="1"/>
      <c r="AG69" s="60"/>
    </row>
    <row r="70" spans="1:33" ht="15" customHeight="1">
      <c r="A70" s="81" t="s">
        <v>88</v>
      </c>
      <c r="B70" s="82" t="s">
        <v>9</v>
      </c>
      <c r="C70" s="82" t="s">
        <v>10</v>
      </c>
      <c r="D70" s="82" t="s">
        <v>72</v>
      </c>
      <c r="E70" s="82" t="s">
        <v>90</v>
      </c>
      <c r="F70" s="82" t="s">
        <v>92</v>
      </c>
      <c r="G70" s="83" t="s">
        <v>81</v>
      </c>
      <c r="H70" s="181" t="s">
        <v>239</v>
      </c>
      <c r="I70" s="182" t="s">
        <v>259</v>
      </c>
      <c r="J70" s="82" t="s">
        <v>14</v>
      </c>
      <c r="K70" s="901"/>
      <c r="L70" s="95">
        <f>IF(ISTEXT($H70),INDEX(VDSL1[Afname (%)],MATCH($H70,VDSL1[Verdeelsleutel],0))*$K70,"")</f>
        <v>0</v>
      </c>
      <c r="M70" s="93" t="e">
        <f>IF(ISTEXT($I70),INDEX(VDSL2[TRHS (%)],MATCH($I70,VDSL2[Verdeelsleutel],0))*$L70,"")</f>
        <v>#VALUE!</v>
      </c>
      <c r="N70" s="93" t="e">
        <f>IF(ISTEXT($I70),INDEX(VDSL2[MS (%)],MATCH($I70,VDSL2[Verdeelsleutel],0))*$L70,"")</f>
        <v>#VALUE!</v>
      </c>
      <c r="O70" s="93" t="e">
        <f>IF(ISTEXT($I70),INDEX(VDSL2[TRLS (%)],MATCH($I70,VDSL2[Verdeelsleutel],0))*$L70,"")</f>
        <v>#VALUE!</v>
      </c>
      <c r="P70" s="93" t="e">
        <f>IF(ISTEXT($I70),INDEX(VDSL2[LS (%)],MATCH($I70,VDSL2[Verdeelsleutel],0))*$L70,"")</f>
        <v>#VALUE!</v>
      </c>
      <c r="Q70" s="93" t="e">
        <f>IF(ISTEXT($J70),INDEX(VDSL3[Afnameklanten op LS met piekmeting (%)],MATCH($J70,VDSL3[Verdeelsleutel],0))*$P70,"")</f>
        <v>#DIV/0!</v>
      </c>
      <c r="R70" s="94" t="e">
        <f>IF(ISTEXT($J70),INDEX(VDSL3[Afnameklanten met KM/TT (%)],MATCH($J70,VDSL3[Verdeelsleutel],0))*$P70,"")</f>
        <v>#DIV/0!</v>
      </c>
      <c r="S70" s="95">
        <f>IF(ISTEXT($H70),INDEX(VDSL1[Injectie (%)],MATCH($H70,VDSL1[Verdeelsleutel],0))*$K70,"")</f>
        <v>0</v>
      </c>
      <c r="T70" s="591"/>
      <c r="U70" s="1"/>
      <c r="V70" s="1"/>
      <c r="AG70" s="60"/>
    </row>
    <row r="71" spans="1:33" ht="15" customHeight="1">
      <c r="A71" s="81" t="s">
        <v>88</v>
      </c>
      <c r="B71" s="82" t="s">
        <v>9</v>
      </c>
      <c r="C71" s="82" t="s">
        <v>10</v>
      </c>
      <c r="D71" s="82" t="s">
        <v>72</v>
      </c>
      <c r="E71" s="82" t="s">
        <v>90</v>
      </c>
      <c r="F71" s="82" t="s">
        <v>92</v>
      </c>
      <c r="G71" s="83" t="s">
        <v>79</v>
      </c>
      <c r="H71" s="181" t="s">
        <v>239</v>
      </c>
      <c r="I71" s="182" t="s">
        <v>259</v>
      </c>
      <c r="J71" s="82" t="s">
        <v>14</v>
      </c>
      <c r="K71" s="901"/>
      <c r="L71" s="95">
        <f>IF(ISTEXT($H71),INDEX(VDSL1[Afname (%)],MATCH($H71,VDSL1[Verdeelsleutel],0))*$K71,"")</f>
        <v>0</v>
      </c>
      <c r="M71" s="93" t="e">
        <f>IF(ISTEXT($I71),INDEX(VDSL2[TRHS (%)],MATCH($I71,VDSL2[Verdeelsleutel],0))*$L71,"")</f>
        <v>#VALUE!</v>
      </c>
      <c r="N71" s="93" t="e">
        <f>IF(ISTEXT($I71),INDEX(VDSL2[MS (%)],MATCH($I71,VDSL2[Verdeelsleutel],0))*$L71,"")</f>
        <v>#VALUE!</v>
      </c>
      <c r="O71" s="93" t="e">
        <f>IF(ISTEXT($I71),INDEX(VDSL2[TRLS (%)],MATCH($I71,VDSL2[Verdeelsleutel],0))*$L71,"")</f>
        <v>#VALUE!</v>
      </c>
      <c r="P71" s="93" t="e">
        <f>IF(ISTEXT($I71),INDEX(VDSL2[LS (%)],MATCH($I71,VDSL2[Verdeelsleutel],0))*$L71,"")</f>
        <v>#VALUE!</v>
      </c>
      <c r="Q71" s="93" t="e">
        <f>IF(ISTEXT($J71),INDEX(VDSL3[Afnameklanten op LS met piekmeting (%)],MATCH($J71,VDSL3[Verdeelsleutel],0))*$P71,"")</f>
        <v>#DIV/0!</v>
      </c>
      <c r="R71" s="94" t="e">
        <f>IF(ISTEXT($J71),INDEX(VDSL3[Afnameklanten met KM/TT (%)],MATCH($J71,VDSL3[Verdeelsleutel],0))*$P71,"")</f>
        <v>#DIV/0!</v>
      </c>
      <c r="S71" s="95">
        <f>IF(ISTEXT($H71),INDEX(VDSL1[Injectie (%)],MATCH($H71,VDSL1[Verdeelsleutel],0))*$K71,"")</f>
        <v>0</v>
      </c>
      <c r="T71" s="591"/>
      <c r="U71" s="1"/>
      <c r="V71" s="1"/>
      <c r="AG71" s="60"/>
    </row>
    <row r="72" spans="1:33" ht="15" customHeight="1">
      <c r="A72" s="81" t="s">
        <v>88</v>
      </c>
      <c r="B72" s="82" t="s">
        <v>9</v>
      </c>
      <c r="C72" s="82" t="s">
        <v>10</v>
      </c>
      <c r="D72" s="82" t="s">
        <v>67</v>
      </c>
      <c r="E72" s="82" t="s">
        <v>90</v>
      </c>
      <c r="F72" s="82" t="s">
        <v>92</v>
      </c>
      <c r="G72" s="83" t="s">
        <v>70</v>
      </c>
      <c r="H72" s="181" t="s">
        <v>239</v>
      </c>
      <c r="I72" s="182" t="s">
        <v>259</v>
      </c>
      <c r="J72" s="82" t="s">
        <v>14</v>
      </c>
      <c r="K72" s="901"/>
      <c r="L72" s="95">
        <f>IF(ISTEXT($H72),INDEX(VDSL1[Afname (%)],MATCH($H72,VDSL1[Verdeelsleutel],0))*$K72,"")</f>
        <v>0</v>
      </c>
      <c r="M72" s="93" t="e">
        <f>IF(ISTEXT($I72),INDEX(VDSL2[TRHS (%)],MATCH($I72,VDSL2[Verdeelsleutel],0))*$L72,"")</f>
        <v>#VALUE!</v>
      </c>
      <c r="N72" s="93" t="e">
        <f>IF(ISTEXT($I72),INDEX(VDSL2[MS (%)],MATCH($I72,VDSL2[Verdeelsleutel],0))*$L72,"")</f>
        <v>#VALUE!</v>
      </c>
      <c r="O72" s="93" t="e">
        <f>IF(ISTEXT($I72),INDEX(VDSL2[TRLS (%)],MATCH($I72,VDSL2[Verdeelsleutel],0))*$L72,"")</f>
        <v>#VALUE!</v>
      </c>
      <c r="P72" s="93" t="e">
        <f>IF(ISTEXT($I72),INDEX(VDSL2[LS (%)],MATCH($I72,VDSL2[Verdeelsleutel],0))*$L72,"")</f>
        <v>#VALUE!</v>
      </c>
      <c r="Q72" s="93" t="e">
        <f>IF(ISTEXT($J72),INDEX(VDSL3[Afnameklanten op LS met piekmeting (%)],MATCH($J72,VDSL3[Verdeelsleutel],0))*$P72,"")</f>
        <v>#DIV/0!</v>
      </c>
      <c r="R72" s="94" t="e">
        <f>IF(ISTEXT($J72),INDEX(VDSL3[Afnameklanten met KM/TT (%)],MATCH($J72,VDSL3[Verdeelsleutel],0))*$P72,"")</f>
        <v>#DIV/0!</v>
      </c>
      <c r="S72" s="95">
        <f>IF(ISTEXT($H72),INDEX(VDSL1[Injectie (%)],MATCH($H72,VDSL1[Verdeelsleutel],0))*$K72,"")</f>
        <v>0</v>
      </c>
      <c r="T72" s="591"/>
      <c r="U72" s="1"/>
      <c r="V72" s="1"/>
      <c r="AG72" s="60"/>
    </row>
    <row r="73" spans="1:33" ht="15" customHeight="1">
      <c r="A73" s="81" t="s">
        <v>52</v>
      </c>
      <c r="B73" s="82" t="s">
        <v>86</v>
      </c>
      <c r="C73" s="82" t="s">
        <v>10</v>
      </c>
      <c r="D73" s="82" t="s">
        <v>72</v>
      </c>
      <c r="E73" s="82" t="s">
        <v>90</v>
      </c>
      <c r="F73" s="82" t="s">
        <v>92</v>
      </c>
      <c r="G73" s="83" t="s">
        <v>555</v>
      </c>
      <c r="H73" s="181" t="s">
        <v>239</v>
      </c>
      <c r="I73" s="182" t="s">
        <v>14</v>
      </c>
      <c r="J73" s="82" t="s">
        <v>14</v>
      </c>
      <c r="K73" s="901"/>
      <c r="L73" s="95">
        <f>IF(ISTEXT($H73),INDEX(VDSL1[Afname (%)],MATCH($H73,VDSL1[Verdeelsleutel],0))*$K73,"")</f>
        <v>0</v>
      </c>
      <c r="M73" s="93" t="e">
        <f>IF(ISTEXT($I73),INDEX(VDSL2[TRHS (%)],MATCH($I73,VDSL2[Verdeelsleutel],0))*$L73,"")</f>
        <v>#DIV/0!</v>
      </c>
      <c r="N73" s="93" t="e">
        <f>IF(ISTEXT($I73),INDEX(VDSL2[MS (%)],MATCH($I73,VDSL2[Verdeelsleutel],0))*$L73,"")</f>
        <v>#DIV/0!</v>
      </c>
      <c r="O73" s="93" t="e">
        <f>IF(ISTEXT($I73),INDEX(VDSL2[TRLS (%)],MATCH($I73,VDSL2[Verdeelsleutel],0))*$L73,"")</f>
        <v>#DIV/0!</v>
      </c>
      <c r="P73" s="93" t="e">
        <f>IF(ISTEXT($I73),INDEX(VDSL2[LS (%)],MATCH($I73,VDSL2[Verdeelsleutel],0))*$L73,"")</f>
        <v>#DIV/0!</v>
      </c>
      <c r="Q73" s="93" t="e">
        <f>IF(ISTEXT($J73),INDEX(VDSL3[Afnameklanten op LS met piekmeting (%)],MATCH($J73,VDSL3[Verdeelsleutel],0))*$P73,"")</f>
        <v>#DIV/0!</v>
      </c>
      <c r="R73" s="94" t="e">
        <f>IF(ISTEXT($J73),INDEX(VDSL3[Afnameklanten met KM/TT (%)],MATCH($J73,VDSL3[Verdeelsleutel],0))*$P73,"")</f>
        <v>#DIV/0!</v>
      </c>
      <c r="S73" s="95">
        <f>IF(ISTEXT($H73),INDEX(VDSL1[Injectie (%)],MATCH($H73,VDSL1[Verdeelsleutel],0))*$K73,"")</f>
        <v>0</v>
      </c>
      <c r="T73" s="591"/>
      <c r="U73" s="1"/>
      <c r="V73" s="1"/>
      <c r="AG73" s="60"/>
    </row>
    <row r="74" spans="1:33" ht="15" customHeight="1">
      <c r="A74" s="81" t="s">
        <v>52</v>
      </c>
      <c r="B74" s="82" t="s">
        <v>86</v>
      </c>
      <c r="C74" s="82" t="s">
        <v>10</v>
      </c>
      <c r="D74" s="82" t="s">
        <v>72</v>
      </c>
      <c r="E74" s="82" t="s">
        <v>90</v>
      </c>
      <c r="F74" s="82" t="s">
        <v>92</v>
      </c>
      <c r="G74" s="83" t="s">
        <v>556</v>
      </c>
      <c r="H74" s="181" t="s">
        <v>239</v>
      </c>
      <c r="I74" s="182" t="s">
        <v>14</v>
      </c>
      <c r="J74" s="82" t="s">
        <v>14</v>
      </c>
      <c r="K74" s="901"/>
      <c r="L74" s="95">
        <f>IF(ISTEXT($H74),INDEX(VDSL1[Afname (%)],MATCH($H74,VDSL1[Verdeelsleutel],0))*$K74,"")</f>
        <v>0</v>
      </c>
      <c r="M74" s="93" t="e">
        <f>IF(ISTEXT($I74),INDEX(VDSL2[TRHS (%)],MATCH($I74,VDSL2[Verdeelsleutel],0))*$L74,"")</f>
        <v>#DIV/0!</v>
      </c>
      <c r="N74" s="93" t="e">
        <f>IF(ISTEXT($I74),INDEX(VDSL2[MS (%)],MATCH($I74,VDSL2[Verdeelsleutel],0))*$L74,"")</f>
        <v>#DIV/0!</v>
      </c>
      <c r="O74" s="93" t="e">
        <f>IF(ISTEXT($I74),INDEX(VDSL2[TRLS (%)],MATCH($I74,VDSL2[Verdeelsleutel],0))*$L74,"")</f>
        <v>#DIV/0!</v>
      </c>
      <c r="P74" s="93" t="e">
        <f>IF(ISTEXT($I74),INDEX(VDSL2[LS (%)],MATCH($I74,VDSL2[Verdeelsleutel],0))*$L74,"")</f>
        <v>#DIV/0!</v>
      </c>
      <c r="Q74" s="93" t="e">
        <f>IF(ISTEXT($J74),INDEX(VDSL3[Afnameklanten op LS met piekmeting (%)],MATCH($J74,VDSL3[Verdeelsleutel],0))*$P74,"")</f>
        <v>#DIV/0!</v>
      </c>
      <c r="R74" s="94" t="e">
        <f>IF(ISTEXT($J74),INDEX(VDSL3[Afnameklanten met KM/TT (%)],MATCH($J74,VDSL3[Verdeelsleutel],0))*$P74,"")</f>
        <v>#DIV/0!</v>
      </c>
      <c r="S74" s="95">
        <f>IF(ISTEXT($H74),INDEX(VDSL1[Injectie (%)],MATCH($H74,VDSL1[Verdeelsleutel],0))*$K74,"")</f>
        <v>0</v>
      </c>
      <c r="T74" s="591"/>
      <c r="U74" s="1"/>
      <c r="V74" s="1"/>
      <c r="AG74" s="60"/>
    </row>
    <row r="75" spans="1:33" ht="15" customHeight="1">
      <c r="A75" s="81" t="s">
        <v>52</v>
      </c>
      <c r="B75" s="82" t="s">
        <v>86</v>
      </c>
      <c r="C75" s="82" t="s">
        <v>23</v>
      </c>
      <c r="D75" s="82" t="s">
        <v>72</v>
      </c>
      <c r="E75" s="82" t="s">
        <v>90</v>
      </c>
      <c r="F75" s="82" t="s">
        <v>92</v>
      </c>
      <c r="G75" s="83" t="s">
        <v>341</v>
      </c>
      <c r="H75" s="181" t="s">
        <v>239</v>
      </c>
      <c r="I75" s="182" t="s">
        <v>14</v>
      </c>
      <c r="J75" s="82" t="s">
        <v>14</v>
      </c>
      <c r="K75" s="901"/>
      <c r="L75" s="95">
        <f>IF(ISTEXT($H75),INDEX(VDSL1[Afname (%)],MATCH($H75,VDSL1[Verdeelsleutel],0))*$K75,"")</f>
        <v>0</v>
      </c>
      <c r="M75" s="93" t="e">
        <f>IF(ISTEXT($I75),INDEX(VDSL2[TRHS (%)],MATCH($I75,VDSL2[Verdeelsleutel],0))*$L75,"")</f>
        <v>#DIV/0!</v>
      </c>
      <c r="N75" s="93" t="e">
        <f>IF(ISTEXT($I75),INDEX(VDSL2[MS (%)],MATCH($I75,VDSL2[Verdeelsleutel],0))*$L75,"")</f>
        <v>#DIV/0!</v>
      </c>
      <c r="O75" s="93" t="e">
        <f>IF(ISTEXT($I75),INDEX(VDSL2[TRLS (%)],MATCH($I75,VDSL2[Verdeelsleutel],0))*$L75,"")</f>
        <v>#DIV/0!</v>
      </c>
      <c r="P75" s="93" t="e">
        <f>IF(ISTEXT($I75),INDEX(VDSL2[LS (%)],MATCH($I75,VDSL2[Verdeelsleutel],0))*$L75,"")</f>
        <v>#DIV/0!</v>
      </c>
      <c r="Q75" s="93" t="e">
        <f>IF(ISTEXT($J75),INDEX(VDSL3[Afnameklanten op LS met piekmeting (%)],MATCH($J75,VDSL3[Verdeelsleutel],0))*$P75,"")</f>
        <v>#DIV/0!</v>
      </c>
      <c r="R75" s="94" t="e">
        <f>IF(ISTEXT($J75),INDEX(VDSL3[Afnameklanten met KM/TT (%)],MATCH($J75,VDSL3[Verdeelsleutel],0))*$P75,"")</f>
        <v>#DIV/0!</v>
      </c>
      <c r="S75" s="95">
        <f>IF(ISTEXT($H75),INDEX(VDSL1[Injectie (%)],MATCH($H75,VDSL1[Verdeelsleutel],0))*$K75,"")</f>
        <v>0</v>
      </c>
      <c r="T75" s="591"/>
      <c r="U75" s="1"/>
      <c r="V75" s="1"/>
      <c r="AG75" s="60"/>
    </row>
    <row r="76" spans="1:33" ht="15" customHeight="1">
      <c r="A76" s="81" t="s">
        <v>52</v>
      </c>
      <c r="B76" s="82" t="s">
        <v>86</v>
      </c>
      <c r="C76" s="82" t="s">
        <v>10</v>
      </c>
      <c r="D76" s="82" t="s">
        <v>72</v>
      </c>
      <c r="E76" s="82" t="s">
        <v>90</v>
      </c>
      <c r="F76" s="82" t="s">
        <v>92</v>
      </c>
      <c r="G76" s="83" t="s">
        <v>58</v>
      </c>
      <c r="H76" s="181" t="s">
        <v>239</v>
      </c>
      <c r="I76" s="182" t="s">
        <v>14</v>
      </c>
      <c r="J76" s="82" t="s">
        <v>14</v>
      </c>
      <c r="K76" s="901"/>
      <c r="L76" s="95">
        <f>IF(ISTEXT($H76),INDEX(VDSL1[Afname (%)],MATCH($H76,VDSL1[Verdeelsleutel],0))*$K76,"")</f>
        <v>0</v>
      </c>
      <c r="M76" s="93" t="e">
        <f>IF(ISTEXT($I76),INDEX(VDSL2[TRHS (%)],MATCH($I76,VDSL2[Verdeelsleutel],0))*$L76,"")</f>
        <v>#DIV/0!</v>
      </c>
      <c r="N76" s="93" t="e">
        <f>IF(ISTEXT($I76),INDEX(VDSL2[MS (%)],MATCH($I76,VDSL2[Verdeelsleutel],0))*$L76,"")</f>
        <v>#DIV/0!</v>
      </c>
      <c r="O76" s="93" t="e">
        <f>IF(ISTEXT($I76),INDEX(VDSL2[TRLS (%)],MATCH($I76,VDSL2[Verdeelsleutel],0))*$L76,"")</f>
        <v>#DIV/0!</v>
      </c>
      <c r="P76" s="93" t="e">
        <f>IF(ISTEXT($I76),INDEX(VDSL2[LS (%)],MATCH($I76,VDSL2[Verdeelsleutel],0))*$L76,"")</f>
        <v>#DIV/0!</v>
      </c>
      <c r="Q76" s="93" t="e">
        <f>IF(ISTEXT($J76),INDEX(VDSL3[Afnameklanten op LS met piekmeting (%)],MATCH($J76,VDSL3[Verdeelsleutel],0))*$P76,"")</f>
        <v>#DIV/0!</v>
      </c>
      <c r="R76" s="94" t="e">
        <f>IF(ISTEXT($J76),INDEX(VDSL3[Afnameklanten met KM/TT (%)],MATCH($J76,VDSL3[Verdeelsleutel],0))*$P76,"")</f>
        <v>#DIV/0!</v>
      </c>
      <c r="S76" s="95">
        <f>IF(ISTEXT($H76),INDEX(VDSL1[Injectie (%)],MATCH($H76,VDSL1[Verdeelsleutel],0))*$K76,"")</f>
        <v>0</v>
      </c>
      <c r="T76" s="591"/>
      <c r="U76" s="1"/>
      <c r="V76" s="1"/>
      <c r="AG76" s="60"/>
    </row>
    <row r="77" spans="1:33" ht="15" customHeight="1">
      <c r="A77" s="81" t="s">
        <v>52</v>
      </c>
      <c r="B77" s="82" t="s">
        <v>86</v>
      </c>
      <c r="C77" s="82" t="s">
        <v>10</v>
      </c>
      <c r="D77" s="82" t="s">
        <v>72</v>
      </c>
      <c r="E77" s="82" t="s">
        <v>90</v>
      </c>
      <c r="F77" s="82" t="s">
        <v>92</v>
      </c>
      <c r="G77" s="83" t="s">
        <v>57</v>
      </c>
      <c r="H77" s="181" t="s">
        <v>239</v>
      </c>
      <c r="I77" s="182" t="s">
        <v>14</v>
      </c>
      <c r="J77" s="82" t="s">
        <v>14</v>
      </c>
      <c r="K77" s="901"/>
      <c r="L77" s="95">
        <f>IF(ISTEXT($H77),INDEX(VDSL1[Afname (%)],MATCH($H77,VDSL1[Verdeelsleutel],0))*$K77,"")</f>
        <v>0</v>
      </c>
      <c r="M77" s="93" t="e">
        <f>IF(ISTEXT($I77),INDEX(VDSL2[TRHS (%)],MATCH($I77,VDSL2[Verdeelsleutel],0))*$L77,"")</f>
        <v>#DIV/0!</v>
      </c>
      <c r="N77" s="93" t="e">
        <f>IF(ISTEXT($I77),INDEX(VDSL2[MS (%)],MATCH($I77,VDSL2[Verdeelsleutel],0))*$L77,"")</f>
        <v>#DIV/0!</v>
      </c>
      <c r="O77" s="93" t="e">
        <f>IF(ISTEXT($I77),INDEX(VDSL2[TRLS (%)],MATCH($I77,VDSL2[Verdeelsleutel],0))*$L77,"")</f>
        <v>#DIV/0!</v>
      </c>
      <c r="P77" s="93" t="e">
        <f>IF(ISTEXT($I77),INDEX(VDSL2[LS (%)],MATCH($I77,VDSL2[Verdeelsleutel],0))*$L77,"")</f>
        <v>#DIV/0!</v>
      </c>
      <c r="Q77" s="93" t="e">
        <f>IF(ISTEXT($J77),INDEX(VDSL3[Afnameklanten op LS met piekmeting (%)],MATCH($J77,VDSL3[Verdeelsleutel],0))*$P77,"")</f>
        <v>#DIV/0!</v>
      </c>
      <c r="R77" s="94" t="e">
        <f>IF(ISTEXT($J77),INDEX(VDSL3[Afnameklanten met KM/TT (%)],MATCH($J77,VDSL3[Verdeelsleutel],0))*$P77,"")</f>
        <v>#DIV/0!</v>
      </c>
      <c r="S77" s="95">
        <f>IF(ISTEXT($H77),INDEX(VDSL1[Injectie (%)],MATCH($H77,VDSL1[Verdeelsleutel],0))*$K77,"")</f>
        <v>0</v>
      </c>
      <c r="T77" s="591"/>
      <c r="U77" s="1"/>
      <c r="V77" s="1"/>
      <c r="AG77" s="60"/>
    </row>
    <row r="78" spans="1:33" ht="15" customHeight="1">
      <c r="A78" s="81" t="s">
        <v>52</v>
      </c>
      <c r="B78" s="82" t="s">
        <v>86</v>
      </c>
      <c r="C78" s="82" t="s">
        <v>10</v>
      </c>
      <c r="D78" s="82" t="s">
        <v>72</v>
      </c>
      <c r="E78" s="82" t="s">
        <v>90</v>
      </c>
      <c r="F78" s="82" t="s">
        <v>92</v>
      </c>
      <c r="G78" s="83" t="s">
        <v>21</v>
      </c>
      <c r="H78" s="181" t="s">
        <v>239</v>
      </c>
      <c r="I78" s="182" t="s">
        <v>14</v>
      </c>
      <c r="J78" s="82" t="s">
        <v>14</v>
      </c>
      <c r="K78" s="901"/>
      <c r="L78" s="95">
        <f>IF(ISTEXT($H78),INDEX(VDSL1[Afname (%)],MATCH($H78,VDSL1[Verdeelsleutel],0))*$K78,"")</f>
        <v>0</v>
      </c>
      <c r="M78" s="93" t="e">
        <f>IF(ISTEXT($I78),INDEX(VDSL2[TRHS (%)],MATCH($I78,VDSL2[Verdeelsleutel],0))*$L78,"")</f>
        <v>#DIV/0!</v>
      </c>
      <c r="N78" s="93" t="e">
        <f>IF(ISTEXT($I78),INDEX(VDSL2[MS (%)],MATCH($I78,VDSL2[Verdeelsleutel],0))*$L78,"")</f>
        <v>#DIV/0!</v>
      </c>
      <c r="O78" s="93" t="e">
        <f>IF(ISTEXT($I78),INDEX(VDSL2[TRLS (%)],MATCH($I78,VDSL2[Verdeelsleutel],0))*$L78,"")</f>
        <v>#DIV/0!</v>
      </c>
      <c r="P78" s="93" t="e">
        <f>IF(ISTEXT($I78),INDEX(VDSL2[LS (%)],MATCH($I78,VDSL2[Verdeelsleutel],0))*$L78,"")</f>
        <v>#DIV/0!</v>
      </c>
      <c r="Q78" s="93" t="e">
        <f>IF(ISTEXT($J78),INDEX(VDSL3[Afnameklanten op LS met piekmeting (%)],MATCH($J78,VDSL3[Verdeelsleutel],0))*$P78,"")</f>
        <v>#DIV/0!</v>
      </c>
      <c r="R78" s="94" t="e">
        <f>IF(ISTEXT($J78),INDEX(VDSL3[Afnameklanten met KM/TT (%)],MATCH($J78,VDSL3[Verdeelsleutel],0))*$P78,"")</f>
        <v>#DIV/0!</v>
      </c>
      <c r="S78" s="95">
        <f>IF(ISTEXT($H78),INDEX(VDSL1[Injectie (%)],MATCH($H78,VDSL1[Verdeelsleutel],0))*$K78,"")</f>
        <v>0</v>
      </c>
      <c r="T78" s="591"/>
      <c r="U78" s="1"/>
      <c r="V78" s="1"/>
      <c r="AG78" s="60"/>
    </row>
    <row r="79" spans="1:33" ht="15" customHeight="1">
      <c r="A79" s="81" t="s">
        <v>52</v>
      </c>
      <c r="B79" s="82" t="s">
        <v>86</v>
      </c>
      <c r="C79" s="82" t="s">
        <v>10</v>
      </c>
      <c r="D79" s="82" t="s">
        <v>72</v>
      </c>
      <c r="E79" s="82" t="s">
        <v>90</v>
      </c>
      <c r="F79" s="82" t="s">
        <v>92</v>
      </c>
      <c r="G79" s="83" t="s">
        <v>60</v>
      </c>
      <c r="H79" s="181" t="s">
        <v>239</v>
      </c>
      <c r="I79" s="182" t="s">
        <v>14</v>
      </c>
      <c r="J79" s="82" t="s">
        <v>14</v>
      </c>
      <c r="K79" s="901"/>
      <c r="L79" s="95">
        <f>IF(ISTEXT($H79),INDEX(VDSL1[Afname (%)],MATCH($H79,VDSL1[Verdeelsleutel],0))*$K79,"")</f>
        <v>0</v>
      </c>
      <c r="M79" s="93" t="e">
        <f>IF(ISTEXT($I79),INDEX(VDSL2[TRHS (%)],MATCH($I79,VDSL2[Verdeelsleutel],0))*$L79,"")</f>
        <v>#DIV/0!</v>
      </c>
      <c r="N79" s="93" t="e">
        <f>IF(ISTEXT($I79),INDEX(VDSL2[MS (%)],MATCH($I79,VDSL2[Verdeelsleutel],0))*$L79,"")</f>
        <v>#DIV/0!</v>
      </c>
      <c r="O79" s="93" t="e">
        <f>IF(ISTEXT($I79),INDEX(VDSL2[TRLS (%)],MATCH($I79,VDSL2[Verdeelsleutel],0))*$L79,"")</f>
        <v>#DIV/0!</v>
      </c>
      <c r="P79" s="93" t="e">
        <f>IF(ISTEXT($I79),INDEX(VDSL2[LS (%)],MATCH($I79,VDSL2[Verdeelsleutel],0))*$L79,"")</f>
        <v>#DIV/0!</v>
      </c>
      <c r="Q79" s="93" t="e">
        <f>IF(ISTEXT($J79),INDEX(VDSL3[Afnameklanten op LS met piekmeting (%)],MATCH($J79,VDSL3[Verdeelsleutel],0))*$P79,"")</f>
        <v>#DIV/0!</v>
      </c>
      <c r="R79" s="94" t="e">
        <f>IF(ISTEXT($J79),INDEX(VDSL3[Afnameklanten met KM/TT (%)],MATCH($J79,VDSL3[Verdeelsleutel],0))*$P79,"")</f>
        <v>#DIV/0!</v>
      </c>
      <c r="S79" s="95">
        <f>IF(ISTEXT($H79),INDEX(VDSL1[Injectie (%)],MATCH($H79,VDSL1[Verdeelsleutel],0))*$K79,"")</f>
        <v>0</v>
      </c>
      <c r="T79" s="591"/>
      <c r="U79" s="1"/>
      <c r="V79" s="1"/>
      <c r="AG79" s="60"/>
    </row>
    <row r="80" spans="1:33" ht="15" customHeight="1">
      <c r="A80" s="81" t="s">
        <v>52</v>
      </c>
      <c r="B80" s="82" t="s">
        <v>86</v>
      </c>
      <c r="C80" s="82" t="s">
        <v>10</v>
      </c>
      <c r="D80" s="82" t="s">
        <v>72</v>
      </c>
      <c r="E80" s="82" t="s">
        <v>90</v>
      </c>
      <c r="F80" s="82" t="s">
        <v>92</v>
      </c>
      <c r="G80" s="83" t="s">
        <v>64</v>
      </c>
      <c r="H80" s="181" t="s">
        <v>239</v>
      </c>
      <c r="I80" s="182" t="s">
        <v>14</v>
      </c>
      <c r="J80" s="82" t="s">
        <v>14</v>
      </c>
      <c r="K80" s="901"/>
      <c r="L80" s="95">
        <f>IF(ISTEXT($H80),INDEX(VDSL1[Afname (%)],MATCH($H80,VDSL1[Verdeelsleutel],0))*$K80,"")</f>
        <v>0</v>
      </c>
      <c r="M80" s="93" t="e">
        <f>IF(ISTEXT($I80),INDEX(VDSL2[TRHS (%)],MATCH($I80,VDSL2[Verdeelsleutel],0))*$L80,"")</f>
        <v>#DIV/0!</v>
      </c>
      <c r="N80" s="93" t="e">
        <f>IF(ISTEXT($I80),INDEX(VDSL2[MS (%)],MATCH($I80,VDSL2[Verdeelsleutel],0))*$L80,"")</f>
        <v>#DIV/0!</v>
      </c>
      <c r="O80" s="93" t="e">
        <f>IF(ISTEXT($I80),INDEX(VDSL2[TRLS (%)],MATCH($I80,VDSL2[Verdeelsleutel],0))*$L80,"")</f>
        <v>#DIV/0!</v>
      </c>
      <c r="P80" s="93" t="e">
        <f>IF(ISTEXT($I80),INDEX(VDSL2[LS (%)],MATCH($I80,VDSL2[Verdeelsleutel],0))*$L80,"")</f>
        <v>#DIV/0!</v>
      </c>
      <c r="Q80" s="93" t="e">
        <f>IF(ISTEXT($J80),INDEX(VDSL3[Afnameklanten op LS met piekmeting (%)],MATCH($J80,VDSL3[Verdeelsleutel],0))*$P80,"")</f>
        <v>#DIV/0!</v>
      </c>
      <c r="R80" s="94" t="e">
        <f>IF(ISTEXT($J80),INDEX(VDSL3[Afnameklanten met KM/TT (%)],MATCH($J80,VDSL3[Verdeelsleutel],0))*$P80,"")</f>
        <v>#DIV/0!</v>
      </c>
      <c r="S80" s="95">
        <f>IF(ISTEXT($H80),INDEX(VDSL1[Injectie (%)],MATCH($H80,VDSL1[Verdeelsleutel],0))*$K80,"")</f>
        <v>0</v>
      </c>
      <c r="T80" s="591"/>
      <c r="U80" s="1"/>
      <c r="V80" s="1"/>
      <c r="AG80" s="60"/>
    </row>
    <row r="81" spans="1:33" ht="15" customHeight="1">
      <c r="A81" s="81" t="s">
        <v>52</v>
      </c>
      <c r="B81" s="82" t="s">
        <v>86</v>
      </c>
      <c r="C81" s="82" t="s">
        <v>10</v>
      </c>
      <c r="D81" s="82" t="s">
        <v>72</v>
      </c>
      <c r="E81" s="82" t="s">
        <v>90</v>
      </c>
      <c r="F81" s="82" t="s">
        <v>92</v>
      </c>
      <c r="G81" s="83" t="s">
        <v>63</v>
      </c>
      <c r="H81" s="181" t="s">
        <v>239</v>
      </c>
      <c r="I81" s="182" t="s">
        <v>14</v>
      </c>
      <c r="J81" s="82" t="s">
        <v>14</v>
      </c>
      <c r="K81" s="901"/>
      <c r="L81" s="95">
        <f>IF(ISTEXT($H81),INDEX(VDSL1[Afname (%)],MATCH($H81,VDSL1[Verdeelsleutel],0))*$K81,"")</f>
        <v>0</v>
      </c>
      <c r="M81" s="93" t="e">
        <f>IF(ISTEXT($I81),INDEX(VDSL2[TRHS (%)],MATCH($I81,VDSL2[Verdeelsleutel],0))*$L81,"")</f>
        <v>#DIV/0!</v>
      </c>
      <c r="N81" s="93" t="e">
        <f>IF(ISTEXT($I81),INDEX(VDSL2[MS (%)],MATCH($I81,VDSL2[Verdeelsleutel],0))*$L81,"")</f>
        <v>#DIV/0!</v>
      </c>
      <c r="O81" s="93" t="e">
        <f>IF(ISTEXT($I81),INDEX(VDSL2[TRLS (%)],MATCH($I81,VDSL2[Verdeelsleutel],0))*$L81,"")</f>
        <v>#DIV/0!</v>
      </c>
      <c r="P81" s="93" t="e">
        <f>IF(ISTEXT($I81),INDEX(VDSL2[LS (%)],MATCH($I81,VDSL2[Verdeelsleutel],0))*$L81,"")</f>
        <v>#DIV/0!</v>
      </c>
      <c r="Q81" s="93" t="e">
        <f>IF(ISTEXT($J81),INDEX(VDSL3[Afnameklanten op LS met piekmeting (%)],MATCH($J81,VDSL3[Verdeelsleutel],0))*$P81,"")</f>
        <v>#DIV/0!</v>
      </c>
      <c r="R81" s="94" t="e">
        <f>IF(ISTEXT($J81),INDEX(VDSL3[Afnameklanten met KM/TT (%)],MATCH($J81,VDSL3[Verdeelsleutel],0))*$P81,"")</f>
        <v>#DIV/0!</v>
      </c>
      <c r="S81" s="95">
        <f>IF(ISTEXT($H81),INDEX(VDSL1[Injectie (%)],MATCH($H81,VDSL1[Verdeelsleutel],0))*$K81,"")</f>
        <v>0</v>
      </c>
      <c r="T81" s="591"/>
      <c r="U81" s="1"/>
      <c r="V81" s="1"/>
      <c r="AG81" s="60"/>
    </row>
    <row r="82" spans="1:33" ht="15" customHeight="1">
      <c r="A82" s="81" t="s">
        <v>52</v>
      </c>
      <c r="B82" s="82" t="s">
        <v>86</v>
      </c>
      <c r="C82" s="82" t="s">
        <v>10</v>
      </c>
      <c r="D82" s="82" t="s">
        <v>72</v>
      </c>
      <c r="E82" s="82" t="s">
        <v>90</v>
      </c>
      <c r="F82" s="82" t="s">
        <v>92</v>
      </c>
      <c r="G82" s="83" t="s">
        <v>62</v>
      </c>
      <c r="H82" s="181" t="s">
        <v>239</v>
      </c>
      <c r="I82" s="182" t="s">
        <v>14</v>
      </c>
      <c r="J82" s="82" t="s">
        <v>14</v>
      </c>
      <c r="K82" s="901"/>
      <c r="L82" s="95">
        <f>IF(ISTEXT($H82),INDEX(VDSL1[Afname (%)],MATCH($H82,VDSL1[Verdeelsleutel],0))*$K82,"")</f>
        <v>0</v>
      </c>
      <c r="M82" s="93" t="e">
        <f>IF(ISTEXT($I82),INDEX(VDSL2[TRHS (%)],MATCH($I82,VDSL2[Verdeelsleutel],0))*$L82,"")</f>
        <v>#DIV/0!</v>
      </c>
      <c r="N82" s="93" t="e">
        <f>IF(ISTEXT($I82),INDEX(VDSL2[MS (%)],MATCH($I82,VDSL2[Verdeelsleutel],0))*$L82,"")</f>
        <v>#DIV/0!</v>
      </c>
      <c r="O82" s="93" t="e">
        <f>IF(ISTEXT($I82),INDEX(VDSL2[TRLS (%)],MATCH($I82,VDSL2[Verdeelsleutel],0))*$L82,"")</f>
        <v>#DIV/0!</v>
      </c>
      <c r="P82" s="93" t="e">
        <f>IF(ISTEXT($I82),INDEX(VDSL2[LS (%)],MATCH($I82,VDSL2[Verdeelsleutel],0))*$L82,"")</f>
        <v>#DIV/0!</v>
      </c>
      <c r="Q82" s="93" t="e">
        <f>IF(ISTEXT($J82),INDEX(VDSL3[Afnameklanten op LS met piekmeting (%)],MATCH($J82,VDSL3[Verdeelsleutel],0))*$P82,"")</f>
        <v>#DIV/0!</v>
      </c>
      <c r="R82" s="94" t="e">
        <f>IF(ISTEXT($J82),INDEX(VDSL3[Afnameklanten met KM/TT (%)],MATCH($J82,VDSL3[Verdeelsleutel],0))*$P82,"")</f>
        <v>#DIV/0!</v>
      </c>
      <c r="S82" s="95">
        <f>IF(ISTEXT($H82),INDEX(VDSL1[Injectie (%)],MATCH($H82,VDSL1[Verdeelsleutel],0))*$K82,"")</f>
        <v>0</v>
      </c>
      <c r="T82" s="591"/>
      <c r="U82" s="1"/>
      <c r="V82" s="1"/>
      <c r="AG82" s="60"/>
    </row>
    <row r="83" spans="1:33" ht="15" customHeight="1">
      <c r="A83" s="81" t="s">
        <v>52</v>
      </c>
      <c r="B83" s="82" t="s">
        <v>86</v>
      </c>
      <c r="C83" s="82" t="s">
        <v>10</v>
      </c>
      <c r="D83" s="82" t="s">
        <v>72</v>
      </c>
      <c r="E83" s="82" t="s">
        <v>90</v>
      </c>
      <c r="F83" s="82" t="s">
        <v>92</v>
      </c>
      <c r="G83" s="83" t="s">
        <v>61</v>
      </c>
      <c r="H83" s="181" t="s">
        <v>239</v>
      </c>
      <c r="I83" s="182" t="s">
        <v>14</v>
      </c>
      <c r="J83" s="82" t="s">
        <v>14</v>
      </c>
      <c r="K83" s="901"/>
      <c r="L83" s="95">
        <f>IF(ISTEXT($H83),INDEX(VDSL1[Afname (%)],MATCH($H83,VDSL1[Verdeelsleutel],0))*$K83,"")</f>
        <v>0</v>
      </c>
      <c r="M83" s="93" t="e">
        <f>IF(ISTEXT($I83),INDEX(VDSL2[TRHS (%)],MATCH($I83,VDSL2[Verdeelsleutel],0))*$L83,"")</f>
        <v>#DIV/0!</v>
      </c>
      <c r="N83" s="93" t="e">
        <f>IF(ISTEXT($I83),INDEX(VDSL2[MS (%)],MATCH($I83,VDSL2[Verdeelsleutel],0))*$L83,"")</f>
        <v>#DIV/0!</v>
      </c>
      <c r="O83" s="93" t="e">
        <f>IF(ISTEXT($I83),INDEX(VDSL2[TRLS (%)],MATCH($I83,VDSL2[Verdeelsleutel],0))*$L83,"")</f>
        <v>#DIV/0!</v>
      </c>
      <c r="P83" s="93" t="e">
        <f>IF(ISTEXT($I83),INDEX(VDSL2[LS (%)],MATCH($I83,VDSL2[Verdeelsleutel],0))*$L83,"")</f>
        <v>#DIV/0!</v>
      </c>
      <c r="Q83" s="93" t="e">
        <f>IF(ISTEXT($J83),INDEX(VDSL3[Afnameklanten op LS met piekmeting (%)],MATCH($J83,VDSL3[Verdeelsleutel],0))*$P83,"")</f>
        <v>#DIV/0!</v>
      </c>
      <c r="R83" s="94" t="e">
        <f>IF(ISTEXT($J83),INDEX(VDSL3[Afnameklanten met KM/TT (%)],MATCH($J83,VDSL3[Verdeelsleutel],0))*$P83,"")</f>
        <v>#DIV/0!</v>
      </c>
      <c r="S83" s="95">
        <f>IF(ISTEXT($H83),INDEX(VDSL1[Injectie (%)],MATCH($H83,VDSL1[Verdeelsleutel],0))*$K83,"")</f>
        <v>0</v>
      </c>
      <c r="T83" s="591"/>
      <c r="U83" s="1"/>
      <c r="V83" s="1"/>
      <c r="AG83" s="60"/>
    </row>
    <row r="84" spans="1:33" ht="15" customHeight="1">
      <c r="A84" s="81" t="s">
        <v>52</v>
      </c>
      <c r="B84" s="82" t="s">
        <v>86</v>
      </c>
      <c r="C84" s="82" t="s">
        <v>10</v>
      </c>
      <c r="D84" s="82" t="s">
        <v>72</v>
      </c>
      <c r="E84" s="82" t="s">
        <v>90</v>
      </c>
      <c r="F84" s="82" t="s">
        <v>92</v>
      </c>
      <c r="G84" s="83" t="s">
        <v>254</v>
      </c>
      <c r="H84" s="181" t="s">
        <v>239</v>
      </c>
      <c r="I84" s="182" t="s">
        <v>14</v>
      </c>
      <c r="J84" s="82" t="s">
        <v>14</v>
      </c>
      <c r="K84" s="901"/>
      <c r="L84" s="95">
        <f>IF(ISTEXT($H84),INDEX(VDSL1[Afname (%)],MATCH($H84,VDSL1[Verdeelsleutel],0))*$K84,"")</f>
        <v>0</v>
      </c>
      <c r="M84" s="93" t="e">
        <f>IF(ISTEXT($I84),INDEX(VDSL2[TRHS (%)],MATCH($I84,VDSL2[Verdeelsleutel],0))*$L84,"")</f>
        <v>#DIV/0!</v>
      </c>
      <c r="N84" s="93" t="e">
        <f>IF(ISTEXT($I84),INDEX(VDSL2[MS (%)],MATCH($I84,VDSL2[Verdeelsleutel],0))*$L84,"")</f>
        <v>#DIV/0!</v>
      </c>
      <c r="O84" s="93" t="e">
        <f>IF(ISTEXT($I84),INDEX(VDSL2[TRLS (%)],MATCH($I84,VDSL2[Verdeelsleutel],0))*$L84,"")</f>
        <v>#DIV/0!</v>
      </c>
      <c r="P84" s="93" t="e">
        <f>IF(ISTEXT($I84),INDEX(VDSL2[LS (%)],MATCH($I84,VDSL2[Verdeelsleutel],0))*$L84,"")</f>
        <v>#DIV/0!</v>
      </c>
      <c r="Q84" s="93" t="e">
        <f>IF(ISTEXT($J84),INDEX(VDSL3[Afnameklanten op LS met piekmeting (%)],MATCH($J84,VDSL3[Verdeelsleutel],0))*$P84,"")</f>
        <v>#DIV/0!</v>
      </c>
      <c r="R84" s="94" t="e">
        <f>IF(ISTEXT($J84),INDEX(VDSL3[Afnameklanten met KM/TT (%)],MATCH($J84,VDSL3[Verdeelsleutel],0))*$P84,"")</f>
        <v>#DIV/0!</v>
      </c>
      <c r="S84" s="95">
        <f>IF(ISTEXT($H84),INDEX(VDSL1[Injectie (%)],MATCH($H84,VDSL1[Verdeelsleutel],0))*$K84,"")</f>
        <v>0</v>
      </c>
      <c r="T84" s="591"/>
      <c r="U84" s="1"/>
      <c r="V84" s="1"/>
      <c r="AG84" s="60"/>
    </row>
    <row r="85" spans="1:33" ht="15" customHeight="1">
      <c r="A85" s="81" t="s">
        <v>52</v>
      </c>
      <c r="B85" s="82" t="s">
        <v>86</v>
      </c>
      <c r="C85" s="82" t="s">
        <v>10</v>
      </c>
      <c r="D85" s="82" t="s">
        <v>67</v>
      </c>
      <c r="E85" s="82" t="s">
        <v>90</v>
      </c>
      <c r="F85" s="82" t="s">
        <v>92</v>
      </c>
      <c r="G85" s="83" t="s">
        <v>71</v>
      </c>
      <c r="H85" s="181" t="s">
        <v>239</v>
      </c>
      <c r="I85" s="182" t="s">
        <v>14</v>
      </c>
      <c r="J85" s="82" t="s">
        <v>14</v>
      </c>
      <c r="K85" s="901"/>
      <c r="L85" s="95">
        <f>IF(ISTEXT($H85),INDEX(VDSL1[Afname (%)],MATCH($H85,VDSL1[Verdeelsleutel],0))*$K85,"")</f>
        <v>0</v>
      </c>
      <c r="M85" s="93" t="e">
        <f>IF(ISTEXT($I85),INDEX(VDSL2[TRHS (%)],MATCH($I85,VDSL2[Verdeelsleutel],0))*$L85,"")</f>
        <v>#DIV/0!</v>
      </c>
      <c r="N85" s="93" t="e">
        <f>IF(ISTEXT($I85),INDEX(VDSL2[MS (%)],MATCH($I85,VDSL2[Verdeelsleutel],0))*$L85,"")</f>
        <v>#DIV/0!</v>
      </c>
      <c r="O85" s="93" t="e">
        <f>IF(ISTEXT($I85),INDEX(VDSL2[TRLS (%)],MATCH($I85,VDSL2[Verdeelsleutel],0))*$L85,"")</f>
        <v>#DIV/0!</v>
      </c>
      <c r="P85" s="93" t="e">
        <f>IF(ISTEXT($I85),INDEX(VDSL2[LS (%)],MATCH($I85,VDSL2[Verdeelsleutel],0))*$L85,"")</f>
        <v>#DIV/0!</v>
      </c>
      <c r="Q85" s="93" t="e">
        <f>IF(ISTEXT($J85),INDEX(VDSL3[Afnameklanten op LS met piekmeting (%)],MATCH($J85,VDSL3[Verdeelsleutel],0))*$P85,"")</f>
        <v>#DIV/0!</v>
      </c>
      <c r="R85" s="94" t="e">
        <f>IF(ISTEXT($J85),INDEX(VDSL3[Afnameklanten met KM/TT (%)],MATCH($J85,VDSL3[Verdeelsleutel],0))*$P85,"")</f>
        <v>#DIV/0!</v>
      </c>
      <c r="S85" s="95">
        <f>IF(ISTEXT($H85),INDEX(VDSL1[Injectie (%)],MATCH($H85,VDSL1[Verdeelsleutel],0))*$K85,"")</f>
        <v>0</v>
      </c>
      <c r="T85" s="591"/>
      <c r="U85" s="1"/>
      <c r="V85" s="1"/>
      <c r="AG85" s="60"/>
    </row>
    <row r="86" spans="1:33" ht="15" customHeight="1">
      <c r="A86" s="777"/>
      <c r="B86" s="905"/>
      <c r="C86" s="905"/>
      <c r="D86" s="905"/>
      <c r="E86" s="905"/>
      <c r="F86" s="905"/>
      <c r="G86" s="906"/>
      <c r="H86" s="655"/>
      <c r="I86" s="656"/>
      <c r="J86" s="905"/>
      <c r="K86" s="901"/>
      <c r="L86" s="903" t="str">
        <f>IF(ISTEXT($H86),INDEX(VDSL1[Afname (%)],MATCH($H86,VDSL1[Verdeelsleutel],0))*$K86,"")</f>
        <v/>
      </c>
      <c r="M86" s="799" t="str">
        <f>IF(ISTEXT($I86),INDEX(VDSL2[TRHS (%)],MATCH($I86,VDSL2[Verdeelsleutel],0))*$L86,"")</f>
        <v/>
      </c>
      <c r="N86" s="799" t="str">
        <f>IF(ISTEXT($I86),INDEX(VDSL2[MS (%)],MATCH($I86,VDSL2[Verdeelsleutel],0))*$L86,"")</f>
        <v/>
      </c>
      <c r="O86" s="799" t="str">
        <f>IF(ISTEXT($I86),INDEX(VDSL2[TRLS (%)],MATCH($I86,VDSL2[Verdeelsleutel],0))*$L86,"")</f>
        <v/>
      </c>
      <c r="P86" s="799" t="str">
        <f>IF(ISTEXT($I86),INDEX(VDSL2[LS (%)],MATCH($I86,VDSL2[Verdeelsleutel],0))*$L86,"")</f>
        <v/>
      </c>
      <c r="Q86" s="799" t="str">
        <f>IF(ISTEXT($J86),INDEX(VDSL3[Afnameklanten op LS met piekmeting (%)],MATCH($J86,VDSL3[Verdeelsleutel],0))*$P86,"")</f>
        <v/>
      </c>
      <c r="R86" s="800" t="str">
        <f>IF(ISTEXT($J86),INDEX(VDSL3[Afnameklanten met KM/TT (%)],MATCH($J86,VDSL3[Verdeelsleutel],0))*$P86,"")</f>
        <v/>
      </c>
      <c r="S86" s="903" t="str">
        <f>IF(ISTEXT($H86),INDEX(VDSL1[Injectie (%)],MATCH($H86,VDSL1[Verdeelsleutel],0))*$K86,"")</f>
        <v/>
      </c>
      <c r="T86" s="591"/>
      <c r="U86" s="1"/>
      <c r="V86" s="1"/>
      <c r="AG86" s="60"/>
    </row>
    <row r="87" spans="1:33" ht="15" customHeight="1">
      <c r="A87" s="777"/>
      <c r="B87" s="905"/>
      <c r="C87" s="905"/>
      <c r="D87" s="905"/>
      <c r="E87" s="905"/>
      <c r="F87" s="905"/>
      <c r="G87" s="906"/>
      <c r="H87" s="655"/>
      <c r="I87" s="656"/>
      <c r="J87" s="905"/>
      <c r="K87" s="901"/>
      <c r="L87" s="903" t="str">
        <f>IF(ISTEXT($H87),INDEX(VDSL1[Afname (%)],MATCH($H87,VDSL1[Verdeelsleutel],0))*$K87,"")</f>
        <v/>
      </c>
      <c r="M87" s="799" t="str">
        <f>IF(ISTEXT($I87),INDEX(VDSL2[TRHS (%)],MATCH($I87,VDSL2[Verdeelsleutel],0))*$L87,"")</f>
        <v/>
      </c>
      <c r="N87" s="799" t="str">
        <f>IF(ISTEXT($I87),INDEX(VDSL2[MS (%)],MATCH($I87,VDSL2[Verdeelsleutel],0))*$L87,"")</f>
        <v/>
      </c>
      <c r="O87" s="799" t="str">
        <f>IF(ISTEXT($I87),INDEX(VDSL2[TRLS (%)],MATCH($I87,VDSL2[Verdeelsleutel],0))*$L87,"")</f>
        <v/>
      </c>
      <c r="P87" s="799" t="str">
        <f>IF(ISTEXT($I87),INDEX(VDSL2[LS (%)],MATCH($I87,VDSL2[Verdeelsleutel],0))*$L87,"")</f>
        <v/>
      </c>
      <c r="Q87" s="799" t="str">
        <f>IF(ISTEXT($J87),INDEX(VDSL3[Afnameklanten op LS met piekmeting (%)],MATCH($J87,VDSL3[Verdeelsleutel],0))*$P87,"")</f>
        <v/>
      </c>
      <c r="R87" s="800" t="str">
        <f>IF(ISTEXT($J87),INDEX(VDSL3[Afnameklanten met KM/TT (%)],MATCH($J87,VDSL3[Verdeelsleutel],0))*$P87,"")</f>
        <v/>
      </c>
      <c r="S87" s="903" t="str">
        <f>IF(ISTEXT($H87),INDEX(VDSL1[Injectie (%)],MATCH($H87,VDSL1[Verdeelsleutel],0))*$K87,"")</f>
        <v/>
      </c>
      <c r="T87" s="591"/>
      <c r="U87" s="1"/>
      <c r="V87" s="1"/>
      <c r="AG87" s="60"/>
    </row>
    <row r="88" spans="1:33" ht="15" customHeight="1">
      <c r="A88" s="777"/>
      <c r="B88" s="905"/>
      <c r="C88" s="905"/>
      <c r="D88" s="905"/>
      <c r="E88" s="905"/>
      <c r="F88" s="905"/>
      <c r="G88" s="906"/>
      <c r="H88" s="655"/>
      <c r="I88" s="656"/>
      <c r="J88" s="905"/>
      <c r="K88" s="901"/>
      <c r="L88" s="903" t="str">
        <f>IF(ISTEXT($H88),INDEX(VDSL1[Afname (%)],MATCH($H88,VDSL1[Verdeelsleutel],0))*$K88,"")</f>
        <v/>
      </c>
      <c r="M88" s="799" t="str">
        <f>IF(ISTEXT($I88),INDEX(VDSL2[TRHS (%)],MATCH($I88,VDSL2[Verdeelsleutel],0))*$L88,"")</f>
        <v/>
      </c>
      <c r="N88" s="799" t="str">
        <f>IF(ISTEXT($I88),INDEX(VDSL2[MS (%)],MATCH($I88,VDSL2[Verdeelsleutel],0))*$L88,"")</f>
        <v/>
      </c>
      <c r="O88" s="799" t="str">
        <f>IF(ISTEXT($I88),INDEX(VDSL2[TRLS (%)],MATCH($I88,VDSL2[Verdeelsleutel],0))*$L88,"")</f>
        <v/>
      </c>
      <c r="P88" s="799" t="str">
        <f>IF(ISTEXT($I88),INDEX(VDSL2[LS (%)],MATCH($I88,VDSL2[Verdeelsleutel],0))*$L88,"")</f>
        <v/>
      </c>
      <c r="Q88" s="799" t="str">
        <f>IF(ISTEXT($J88),INDEX(VDSL3[Afnameklanten op LS met piekmeting (%)],MATCH($J88,VDSL3[Verdeelsleutel],0))*$P88,"")</f>
        <v/>
      </c>
      <c r="R88" s="800" t="str">
        <f>IF(ISTEXT($J88),INDEX(VDSL3[Afnameklanten met KM/TT (%)],MATCH($J88,VDSL3[Verdeelsleutel],0))*$P88,"")</f>
        <v/>
      </c>
      <c r="S88" s="903" t="str">
        <f>IF(ISTEXT($H88),INDEX(VDSL1[Injectie (%)],MATCH($H88,VDSL1[Verdeelsleutel],0))*$K88,"")</f>
        <v/>
      </c>
      <c r="T88" s="591"/>
      <c r="U88" s="1"/>
      <c r="V88" s="1"/>
      <c r="AG88" s="60"/>
    </row>
    <row r="89" spans="1:33" ht="15" customHeight="1">
      <c r="A89" s="777"/>
      <c r="B89" s="905"/>
      <c r="C89" s="905"/>
      <c r="D89" s="905"/>
      <c r="E89" s="905"/>
      <c r="F89" s="905"/>
      <c r="G89" s="906"/>
      <c r="H89" s="655"/>
      <c r="I89" s="656"/>
      <c r="J89" s="905"/>
      <c r="K89" s="901"/>
      <c r="L89" s="903" t="str">
        <f>IF(ISTEXT($H89),INDEX(VDSL1[Afname (%)],MATCH($H89,VDSL1[Verdeelsleutel],0))*$K89,"")</f>
        <v/>
      </c>
      <c r="M89" s="799" t="str">
        <f>IF(ISTEXT($I89),INDEX(VDSL2[TRHS (%)],MATCH($I89,VDSL2[Verdeelsleutel],0))*$L89,"")</f>
        <v/>
      </c>
      <c r="N89" s="799" t="str">
        <f>IF(ISTEXT($I89),INDEX(VDSL2[MS (%)],MATCH($I89,VDSL2[Verdeelsleutel],0))*$L89,"")</f>
        <v/>
      </c>
      <c r="O89" s="799" t="str">
        <f>IF(ISTEXT($I89),INDEX(VDSL2[TRLS (%)],MATCH($I89,VDSL2[Verdeelsleutel],0))*$L89,"")</f>
        <v/>
      </c>
      <c r="P89" s="799" t="str">
        <f>IF(ISTEXT($I89),INDEX(VDSL2[LS (%)],MATCH($I89,VDSL2[Verdeelsleutel],0))*$L89,"")</f>
        <v/>
      </c>
      <c r="Q89" s="799" t="str">
        <f>IF(ISTEXT($J89),INDEX(VDSL3[Afnameklanten op LS met piekmeting (%)],MATCH($J89,VDSL3[Verdeelsleutel],0))*$P89,"")</f>
        <v/>
      </c>
      <c r="R89" s="800" t="str">
        <f>IF(ISTEXT($J89),INDEX(VDSL3[Afnameklanten met KM/TT (%)],MATCH($J89,VDSL3[Verdeelsleutel],0))*$P89,"")</f>
        <v/>
      </c>
      <c r="S89" s="903" t="str">
        <f>IF(ISTEXT($H89),INDEX(VDSL1[Injectie (%)],MATCH($H89,VDSL1[Verdeelsleutel],0))*$K89,"")</f>
        <v/>
      </c>
      <c r="T89" s="591"/>
      <c r="U89" s="1"/>
      <c r="V89" s="1"/>
      <c r="AG89" s="60"/>
    </row>
    <row r="90" spans="1:33" ht="15" customHeight="1" thickBot="1">
      <c r="A90" s="783"/>
      <c r="B90" s="907"/>
      <c r="C90" s="907"/>
      <c r="D90" s="907"/>
      <c r="E90" s="907"/>
      <c r="F90" s="907"/>
      <c r="G90" s="908"/>
      <c r="H90" s="658"/>
      <c r="I90" s="659"/>
      <c r="J90" s="907"/>
      <c r="K90" s="902"/>
      <c r="L90" s="904" t="str">
        <f>IF(ISTEXT($H90),INDEX(VDSL1[Afname (%)],MATCH($H90,VDSL1[Verdeelsleutel],0))*$K90,"")</f>
        <v/>
      </c>
      <c r="M90" s="810" t="str">
        <f>IF(ISTEXT($I90),INDEX(VDSL2[TRHS (%)],MATCH($I90,VDSL2[Verdeelsleutel],0))*$L90,"")</f>
        <v/>
      </c>
      <c r="N90" s="810" t="str">
        <f>IF(ISTEXT($I90),INDEX(VDSL2[MS (%)],MATCH($I90,VDSL2[Verdeelsleutel],0))*$L90,"")</f>
        <v/>
      </c>
      <c r="O90" s="810" t="str">
        <f>IF(ISTEXT($I90),INDEX(VDSL2[TRLS (%)],MATCH($I90,VDSL2[Verdeelsleutel],0))*$L90,"")</f>
        <v/>
      </c>
      <c r="P90" s="810" t="str">
        <f>IF(ISTEXT($I90),INDEX(VDSL2[LS (%)],MATCH($I90,VDSL2[Verdeelsleutel],0))*$L90,"")</f>
        <v/>
      </c>
      <c r="Q90" s="810" t="str">
        <f>IF(ISTEXT($J90),INDEX(VDSL3[Afnameklanten op LS met piekmeting (%)],MATCH($J90,VDSL3[Verdeelsleutel],0))*$P90,"")</f>
        <v/>
      </c>
      <c r="R90" s="893" t="str">
        <f>IF(ISTEXT($J90),INDEX(VDSL3[Afnameklanten met KM/TT (%)],MATCH($J90,VDSL3[Verdeelsleutel],0))*$P90,"")</f>
        <v/>
      </c>
      <c r="S90" s="904" t="str">
        <f>IF(ISTEXT($H90),INDEX(VDSL1[Injectie (%)],MATCH($H90,VDSL1[Verdeelsleutel],0))*$K90,"")</f>
        <v/>
      </c>
      <c r="T90" s="591"/>
      <c r="U90" s="1"/>
      <c r="V90" s="1"/>
      <c r="AG90" s="60"/>
    </row>
    <row r="91" spans="1:33" ht="15.75" thickBot="1">
      <c r="A91" s="256"/>
      <c r="B91" s="604"/>
      <c r="C91" s="604"/>
      <c r="D91" s="604"/>
      <c r="E91" s="604"/>
      <c r="F91" s="257"/>
      <c r="G91" s="258" t="s">
        <v>11</v>
      </c>
      <c r="H91" s="568"/>
      <c r="I91" s="238"/>
      <c r="J91" s="238"/>
      <c r="K91" s="569">
        <f t="shared" ref="K91:S91" si="0">SUBTOTAL(9,K$8:K$90)</f>
        <v>0</v>
      </c>
      <c r="L91" s="570" t="e">
        <f t="shared" si="0"/>
        <v>#VALUE!</v>
      </c>
      <c r="M91" s="570" t="e">
        <f t="shared" si="0"/>
        <v>#DIV/0!</v>
      </c>
      <c r="N91" s="570" t="e">
        <f t="shared" si="0"/>
        <v>#VALUE!</v>
      </c>
      <c r="O91" s="570" t="e">
        <f t="shared" si="0"/>
        <v>#VALUE!</v>
      </c>
      <c r="P91" s="570" t="e">
        <f t="shared" si="0"/>
        <v>#VALUE!</v>
      </c>
      <c r="Q91" s="570" t="e">
        <f t="shared" si="0"/>
        <v>#DIV/0!</v>
      </c>
      <c r="R91" s="102" t="e">
        <f t="shared" si="0"/>
        <v>#DIV/0!</v>
      </c>
      <c r="S91" s="570" t="e">
        <f t="shared" si="0"/>
        <v>#VALUE!</v>
      </c>
      <c r="T91" s="591"/>
      <c r="AG91" s="60"/>
    </row>
    <row r="92" spans="1:33" ht="15.75" thickBot="1">
      <c r="I92" s="308"/>
      <c r="J92" s="308"/>
      <c r="K92" s="308"/>
      <c r="L92" s="308"/>
      <c r="M92" s="585"/>
    </row>
    <row r="93" spans="1:33">
      <c r="A93" s="137"/>
      <c r="B93" s="138"/>
      <c r="C93" s="138"/>
      <c r="D93" s="138"/>
      <c r="E93" s="138"/>
      <c r="F93" s="1563" t="s">
        <v>27</v>
      </c>
      <c r="G93" s="1563"/>
      <c r="H93" s="239"/>
      <c r="I93" s="240"/>
      <c r="J93" s="1249"/>
      <c r="K93" s="304">
        <f>SUMIFS(Tabel2[Totale budget],Tabel2[Kostenindeling 2],"Afschrijvingen")</f>
        <v>0</v>
      </c>
      <c r="L93" s="304" t="e">
        <f>SUMIFS(Tabel2[Afnameklanten (∑)],Tabel2[Kostenindeling 2],"Afschrijvingen")</f>
        <v>#VALUE!</v>
      </c>
      <c r="M93" s="304" t="e">
        <f>SUMIFS(Tabel2[Afnameklanten op TRHS (∑)],Tabel2[Kostenindeling 2],"Afschrijvingen")</f>
        <v>#DIV/0!</v>
      </c>
      <c r="N93" s="304" t="e">
        <f>SUMIFS(Tabel2[Afnameklanten op MS (∑)],Tabel2[Kostenindeling 2],"Afschrijvingen")</f>
        <v>#VALUE!</v>
      </c>
      <c r="O93" s="304" t="e">
        <f>SUMIFS(Tabel2[Afnameklanten op TRLS (∑)],Tabel2[Kostenindeling 2],"Afschrijvingen")</f>
        <v>#VALUE!</v>
      </c>
      <c r="P93" s="304" t="e">
        <f>SUMIFS(Tabel2[Afnameklanten op LS (∑)],Tabel2[Kostenindeling 2],"Afschrijvingen")</f>
        <v>#VALUE!</v>
      </c>
      <c r="Q93" s="293" t="e">
        <f>SUMIFS(Tabel2[Afnameklanten op LS met piekmeting (∑)],Tabel2[Kostenindeling 2],"Afschrijvingen")</f>
        <v>#DIV/0!</v>
      </c>
      <c r="R93" s="1253" t="e">
        <f>SUMIFS(Tabel2[Afnameklanten met klassieke/terugdraaiende meter (∑)],Tabel2[Kostenindeling 2],"Afschrijvingen")</f>
        <v>#DIV/0!</v>
      </c>
      <c r="S93" s="1254" t="e">
        <f>SUMIFS(Tabel2[Injectieklanten (∑)],Tabel2[Kostenindeling 2],"Afschrijvingen")</f>
        <v>#VALUE!</v>
      </c>
      <c r="T93" s="591"/>
      <c r="AG93" s="60"/>
    </row>
    <row r="94" spans="1:33">
      <c r="A94" s="139"/>
      <c r="B94" s="140"/>
      <c r="C94" s="140"/>
      <c r="D94" s="140"/>
      <c r="E94" s="140"/>
      <c r="F94" s="1564" t="s">
        <v>196</v>
      </c>
      <c r="G94" s="1564"/>
      <c r="H94" s="241"/>
      <c r="I94" s="242"/>
      <c r="J94" s="1250"/>
      <c r="K94" s="305">
        <f>SUMIFS(Tabel2[Totale budget],Tabel2[Tariefcomponent],"Netgebruik",Tabel2[Kostenrubriek],"&lt;&gt;Marge",Tabel2[Kostenrubriek],"&lt;&gt;Budgettair verschil - geïndexeerde tarieven voor het databeheer",Tabel2[Kostenrubriek],"&lt;&gt;Budgettair verschil - vaste tarieven voor de reactieve energie",Tabel2[Kostenrubriek],"&lt;&gt;Kapitaalkostenvergoeding voor regulatoire saldi",Tabel2[Kostenrubriek],"&lt;&gt;Kapitaalkostenvergoeding voor steuncertificatenvoorraad",Tabel2[Kostenrubriek],"&lt;&gt;Afbouw van regulatoire saldi binnen de tariefcomponent 'Netgebruik'")</f>
        <v>0</v>
      </c>
      <c r="L94" s="305" t="e">
        <f>SUMIFS(Tabel2[Afnameklanten (∑)],Tabel2[Tariefcomponent],"Netgebruik",Tabel2[Kostenrubriek],"&lt;&gt;Marge",Tabel2[Kostenrubriek],"&lt;&gt;Budgettair verschil - geïndexeerde tarieven voor het databeheer",Tabel2[Kostenrubriek],"&lt;&gt;Budgettair verschil - vaste tarieven voor de reactieve energie",Tabel2[Kostenrubriek],"&lt;&gt;Kapitaalkostenvergoeding voor regulatoire saldi",Tabel2[Kostenrubriek],"&lt;&gt;Kapitaalkostenvergoeding voor steuncertificatenvoorraad",Tabel2[Kostenrubriek],"&lt;&gt;Afbouw van regulatoire saldi binnen de tariefcomponent 'Netgebruik'")</f>
        <v>#VALUE!</v>
      </c>
      <c r="M94" s="305" t="e">
        <f>SUMIFS(Tabel2[Afnameklanten op TRHS (∑)],Tabel2[Tariefcomponent],"Netgebruik",Tabel2[Kostenrubriek],"&lt;&gt;Marge",Tabel2[Kostenrubriek],"&lt;&gt;Budgettair verschil - geïndexeerde tarieven voor het databeheer",Tabel2[Kostenrubriek],"&lt;&gt;Budgettair verschil - vaste tarieven voor de reactieve energie",Tabel2[Kostenrubriek],"&lt;&gt;Kapitaalkostenvergoeding voor regulatoire saldi",Tabel2[Kostenrubriek],"&lt;&gt;Kapitaalkostenvergoeding voor steuncertificatenvoorraad",Tabel2[Kostenrubriek],"&lt;&gt;Afbouw van regulatoire saldi binnen de tariefcomponent 'Netgebruik'")</f>
        <v>#DIV/0!</v>
      </c>
      <c r="N94" s="305" t="e">
        <f>SUMIFS(Tabel2[Afnameklanten op MS (∑)],Tabel2[Tariefcomponent],"Netgebruik",Tabel2[Kostenrubriek],"&lt;&gt;Marge",Tabel2[Kostenrubriek],"&lt;&gt;Budgettair verschil - geïndexeerde tarieven voor het databeheer",Tabel2[Kostenrubriek],"&lt;&gt;Budgettair verschil - vaste tarieven voor de reactieve energie",Tabel2[Kostenrubriek],"&lt;&gt;Kapitaalkostenvergoeding voor regulatoire saldi",Tabel2[Kostenrubriek],"&lt;&gt;Kapitaalkostenvergoeding voor steuncertificatenvoorraad",Tabel2[Kostenrubriek],"&lt;&gt;Afbouw van regulatoire saldi binnen de tariefcomponent 'Netgebruik'")</f>
        <v>#VALUE!</v>
      </c>
      <c r="O94" s="305" t="e">
        <f>SUMIFS(Tabel2[Afnameklanten op TRLS (∑)],Tabel2[Tariefcomponent],"Netgebruik",Tabel2[Kostenrubriek],"&lt;&gt;Marge",Tabel2[Kostenrubriek],"&lt;&gt;Budgettair verschil - geïndexeerde tarieven voor het databeheer",Tabel2[Kostenrubriek],"&lt;&gt;Budgettair verschil - vaste tarieven voor de reactieve energie",Tabel2[Kostenrubriek],"&lt;&gt;Kapitaalkostenvergoeding voor regulatoire saldi",Tabel2[Kostenrubriek],"&lt;&gt;Kapitaalkostenvergoeding voor steuncertificatenvoorraad",Tabel2[Kostenrubriek],"&lt;&gt;Afbouw van regulatoire saldi binnen de tariefcomponent 'Netgebruik'")</f>
        <v>#VALUE!</v>
      </c>
      <c r="P94" s="305" t="e">
        <f>SUMIFS(Tabel2[Afnameklanten op LS (∑)],Tabel2[Tariefcomponent],"Netgebruik",Tabel2[Kostenrubriek],"&lt;&gt;Marge",Tabel2[Kostenrubriek],"&lt;&gt;Budgettair verschil - geïndexeerde tarieven voor het databeheer",Tabel2[Kostenrubriek],"&lt;&gt;Budgettair verschil - vaste tarieven voor de reactieve energie",Tabel2[Kostenrubriek],"&lt;&gt;Kapitaalkostenvergoeding voor regulatoire saldi",Tabel2[Kostenrubriek],"&lt;&gt;Kapitaalkostenvergoeding voor steuncertificatenvoorraad",Tabel2[Kostenrubriek],"&lt;&gt;Afbouw van regulatoire saldi binnen de tariefcomponent 'Netgebruik'")</f>
        <v>#VALUE!</v>
      </c>
      <c r="Q94" s="294" t="e">
        <f>SUMIFS(Tabel2[Afnameklanten op LS met piekmeting (∑)],Tabel2[Tariefcomponent],"Netgebruik",Tabel2[Kostenrubriek],"&lt;&gt;Marge",Tabel2[Kostenrubriek],"&lt;&gt;Budgettair verschil - geïndexeerde tarieven voor het databeheer",Tabel2[Kostenrubriek],"&lt;&gt;Budgettair verschil - vaste tarieven voor de reactieve energie",Tabel2[Kostenrubriek],"&lt;&gt;Kapitaalkostenvergoeding voor regulatoire saldi",Tabel2[Kostenrubriek],"&lt;&gt;Kapitaalkostenvergoeding voor steuncertificatenvoorraad",Tabel2[Kostenrubriek],"&lt;&gt;Afbouw van regulatoire saldi binnen de tariefcomponent 'Netgebruik'")</f>
        <v>#DIV/0!</v>
      </c>
      <c r="R94" s="1255" t="e">
        <f>SUMIFS(Tabel2[Afnameklanten met klassieke/terugdraaiende meter (∑)],Tabel2[Tariefcomponent],"Netgebruik",Tabel2[Kostenrubriek],"&lt;&gt;Marge",Tabel2[Kostenrubriek],"&lt;&gt;Budgettair verschil - geïndexeerde tarieven voor het databeheer",Tabel2[Kostenrubriek],"&lt;&gt;Budgettair verschil - vaste tarieven voor de reactieve energie",Tabel2[Kostenrubriek],"&lt;&gt;Kapitaalkostenvergoeding voor regulatoire saldi",Tabel2[Kostenrubriek],"&lt;&gt;Kapitaalkostenvergoeding voor steuncertificatenvoorraad",Tabel2[Kostenrubriek],"&lt;&gt;Afbouw van regulatoire saldi binnen de tariefcomponent 'Netgebruik'")</f>
        <v>#DIV/0!</v>
      </c>
      <c r="S94" s="1256" t="e">
        <f>SUMIFS(Tabel2[Injectieklanten (∑)],Tabel2[Tariefcomponent],"Netgebruik",Tabel2[Kostenrubriek],"&lt;&gt;Marge",Tabel2[Kostenrubriek],"&lt;&gt;Budgettair verschil - geïndexeerde tarieven voor het databeheer",Tabel2[Kostenrubriek],"&lt;&gt;Budgettair verschil - vaste tarieven voor de reactieve energie",Tabel2[Kostenrubriek],"&lt;&gt;Kapitaalkostenvergoeding voor regulatoire saldi",Tabel2[Kostenrubriek],"&lt;&gt;Kapitaalkostenvergoeding voor steuncertificatenvoorraad",Tabel2[Kostenrubriek],"&lt;&gt;Afbouw van regulatoire saldi binnen de tariefcomponent 'Netgebruik'")</f>
        <v>#VALUE!</v>
      </c>
      <c r="T94" s="591"/>
      <c r="V94" s="252"/>
      <c r="AG94" s="60"/>
    </row>
    <row r="95" spans="1:33">
      <c r="A95" s="139"/>
      <c r="B95" s="140"/>
      <c r="C95" s="140"/>
      <c r="D95" s="140"/>
      <c r="E95" s="140"/>
      <c r="F95" s="612" t="s">
        <v>67</v>
      </c>
      <c r="G95" s="612"/>
      <c r="H95" s="241"/>
      <c r="I95" s="242"/>
      <c r="J95" s="1250"/>
      <c r="K95" s="305">
        <f>SUMIFS(Tabel2[Totale budget],Tabel2[Kostenindeling 2],"Afbouw van regulatoire saldi")</f>
        <v>0</v>
      </c>
      <c r="L95" s="305">
        <f>SUMIFS(Tabel2[Afnameklanten (∑)],Tabel2[Kostenindeling 2],"Afbouw van regulatoire saldi")</f>
        <v>0</v>
      </c>
      <c r="M95" s="305" t="e">
        <f>SUMIFS(Tabel2[Afnameklanten op TRHS (∑)],Tabel2[Kostenindeling 2],"Afbouw van regulatoire saldi")</f>
        <v>#VALUE!</v>
      </c>
      <c r="N95" s="305" t="e">
        <f>SUMIFS(Tabel2[Afnameklanten op MS (∑)],Tabel2[Kostenindeling 2],"Afbouw van regulatoire saldi")</f>
        <v>#VALUE!</v>
      </c>
      <c r="O95" s="305" t="e">
        <f>SUMIFS(Tabel2[Afnameklanten op TRLS (∑)],Tabel2[Kostenindeling 2],"Afbouw van regulatoire saldi")</f>
        <v>#VALUE!</v>
      </c>
      <c r="P95" s="305" t="e">
        <f>SUMIFS(Tabel2[Afnameklanten op LS (∑)],Tabel2[Kostenindeling 2],"Afbouw van regulatoire saldi")</f>
        <v>#VALUE!</v>
      </c>
      <c r="Q95" s="294" t="e">
        <f>SUMIFS(Tabel2[Afnameklanten op LS met piekmeting (∑)],Tabel2[Kostenindeling 2],"Afbouw van regulatoire saldi")</f>
        <v>#VALUE!</v>
      </c>
      <c r="R95" s="1255" t="e">
        <f>SUMIFS(Tabel2[Afnameklanten met klassieke/terugdraaiende meter (∑)],Tabel2[Kostenindeling 2],"Afbouw van regulatoire saldi")</f>
        <v>#VALUE!</v>
      </c>
      <c r="S95" s="1256">
        <f>SUMIFS(Tabel2[Injectieklanten (∑)],Tabel2[Kostenindeling 2],"Afbouw van regulatoire saldi")</f>
        <v>0</v>
      </c>
      <c r="T95" s="591"/>
      <c r="AG95" s="60"/>
    </row>
    <row r="96" spans="1:33">
      <c r="A96" s="139"/>
      <c r="B96" s="140"/>
      <c r="C96" s="140"/>
      <c r="D96" s="140"/>
      <c r="E96" s="140"/>
      <c r="F96" s="612" t="s">
        <v>85</v>
      </c>
      <c r="G96" s="612"/>
      <c r="H96" s="241"/>
      <c r="I96" s="242"/>
      <c r="J96" s="1250"/>
      <c r="K96" s="305">
        <f>SUMIFS(Tabel2[Totale budget],Tabel2[Tariefcomponent],"Openbare dienstverplichtingen")</f>
        <v>0</v>
      </c>
      <c r="L96" s="305">
        <f>SUMIFS(Tabel2[Afnameklanten (∑)],Tabel2[Tariefcomponent],"Openbare dienstverplichtingen")</f>
        <v>0</v>
      </c>
      <c r="M96" s="305" t="e">
        <f>SUMIFS(Tabel2[Afnameklanten op TRHS (∑)],Tabel2[Tariefcomponent],"Openbare dienstverplichtingen")</f>
        <v>#VALUE!</v>
      </c>
      <c r="N96" s="305" t="e">
        <f>SUMIFS(Tabel2[Afnameklanten op MS (∑)],Tabel2[Tariefcomponent],"Openbare dienstverplichtingen")</f>
        <v>#VALUE!</v>
      </c>
      <c r="O96" s="305" t="e">
        <f>SUMIFS(Tabel2[Afnameklanten op TRLS (∑)],Tabel2[Tariefcomponent],"Openbare dienstverplichtingen")</f>
        <v>#VALUE!</v>
      </c>
      <c r="P96" s="305" t="e">
        <f>SUMIFS(Tabel2[Afnameklanten op LS (∑)],Tabel2[Tariefcomponent],"Openbare dienstverplichtingen")</f>
        <v>#VALUE!</v>
      </c>
      <c r="Q96" s="294" t="e">
        <f>SUMIFS(Tabel2[Afnameklanten op LS met piekmeting (∑)],Tabel2[Tariefcomponent],"Openbare dienstverplichtingen")</f>
        <v>#DIV/0!</v>
      </c>
      <c r="R96" s="1255" t="e">
        <f>SUMIFS(Tabel2[Afnameklanten met klassieke/terugdraaiende meter (∑)],Tabel2[Tariefcomponent],"Openbare dienstverplichtingen")</f>
        <v>#DIV/0!</v>
      </c>
      <c r="S96" s="1256">
        <f>SUMIFS(Tabel2[Injectieklanten (∑)],Tabel2[Tariefcomponent],"Openbare dienstverplichtingen")</f>
        <v>0</v>
      </c>
      <c r="T96" s="591"/>
      <c r="V96" s="592" t="s">
        <v>195</v>
      </c>
      <c r="AG96" s="60"/>
    </row>
    <row r="97" spans="1:33">
      <c r="A97" s="359"/>
      <c r="B97" s="360"/>
      <c r="C97" s="360"/>
      <c r="D97" s="360"/>
      <c r="E97" s="360"/>
      <c r="F97" s="361" t="s">
        <v>336</v>
      </c>
      <c r="G97" s="361"/>
      <c r="H97" s="362"/>
      <c r="I97" s="363"/>
      <c r="J97" s="1251"/>
      <c r="K97" s="365">
        <f>SUMIFS(Tabel2[Totale budget],Tabel2[Tariefcomponent],"Openbare dienstverplichtingen",Tabel2[Kostenrubriek],"&lt;&gt;Afbouw van regulatoire saldi binnen de tariefcomponent 'Openbare dienstverplichtingen'")</f>
        <v>0</v>
      </c>
      <c r="L97" s="365">
        <f>SUMIFS(Tabel2[Afnameklanten (∑)],Tabel2[Tariefcomponent],"Openbare dienstverplichtingen",Tabel2[Kostenrubriek],"&lt;&gt;Afbouw van regulatoire saldi binnen de tariefcomponent 'Openbare dienstverplichtingen'")</f>
        <v>0</v>
      </c>
      <c r="M97" s="365" t="e">
        <f>SUMIFS(Tabel2[Afnameklanten op TRHS (∑)],Tabel2[Tariefcomponent],"Openbare dienstverplichtingen",Tabel2[Kostenrubriek],"&lt;&gt;Afbouw van regulatoire saldi binnen de tariefcomponent 'Openbare dienstverplichtingen'")</f>
        <v>#VALUE!</v>
      </c>
      <c r="N97" s="365" t="e">
        <f>SUMIFS(Tabel2[Afnameklanten op MS (∑)],Tabel2[Tariefcomponent],"Openbare dienstverplichtingen",Tabel2[Kostenrubriek],"&lt;&gt;Afbouw van regulatoire saldi binnen de tariefcomponent 'Openbare dienstverplichtingen'")</f>
        <v>#VALUE!</v>
      </c>
      <c r="O97" s="365" t="e">
        <f>SUMIFS(Tabel2[Afnameklanten op TRLS (∑)],Tabel2[Tariefcomponent],"Openbare dienstverplichtingen",Tabel2[Kostenrubriek],"&lt;&gt;Afbouw van regulatoire saldi binnen de tariefcomponent 'Openbare dienstverplichtingen'")</f>
        <v>#VALUE!</v>
      </c>
      <c r="P97" s="365" t="e">
        <f>SUMIFS(Tabel2[Afnameklanten op LS (∑)],Tabel2[Tariefcomponent],"Openbare dienstverplichtingen",Tabel2[Kostenrubriek],"&lt;&gt;Afbouw van regulatoire saldi binnen de tariefcomponent 'Openbare dienstverplichtingen'")</f>
        <v>#VALUE!</v>
      </c>
      <c r="Q97" s="364" t="e">
        <f>SUMIFS(Tabel2[Afnameklanten op LS met piekmeting (∑)],Tabel2[Tariefcomponent],"Openbare dienstverplichtingen",Tabel2[Kostenrubriek],"&lt;&gt;Afbouw van regulatoire saldi binnen de tariefcomponent 'Openbare dienstverplichtingen'")</f>
        <v>#DIV/0!</v>
      </c>
      <c r="R97" s="1257" t="e">
        <f>SUMIFS(Tabel2[Afnameklanten met klassieke/terugdraaiende meter (∑)],Tabel2[Tariefcomponent],"Openbare dienstverplichtingen",Tabel2[Kostenrubriek],"&lt;&gt;Afbouw van regulatoire saldi binnen de tariefcomponent 'Openbare dienstverplichtingen'")</f>
        <v>#DIV/0!</v>
      </c>
      <c r="S97" s="1258">
        <f>SUMIFS(Tabel2[Injectieklanten (∑)],Tabel2[Tariefcomponent],"Openbare dienstverplichtingen",Tabel2[Kostenrubriek],"&lt;&gt;Afbouw van regulatoire saldi binnen de tariefcomponent 'Openbare dienstverplichtingen'")</f>
        <v>0</v>
      </c>
      <c r="T97" s="591"/>
      <c r="V97" s="592"/>
      <c r="AG97" s="60"/>
    </row>
    <row r="98" spans="1:33">
      <c r="A98" s="359"/>
      <c r="B98" s="360"/>
      <c r="C98" s="360"/>
      <c r="D98" s="360"/>
      <c r="E98" s="360"/>
      <c r="F98" s="361" t="s">
        <v>9</v>
      </c>
      <c r="G98" s="361"/>
      <c r="H98" s="362"/>
      <c r="I98" s="363"/>
      <c r="J98" s="1251"/>
      <c r="K98" s="365">
        <f>SUMIFS(Tabel2[Totale budget],Tabel2[Tariefcomponent],"Toeslagen")</f>
        <v>0</v>
      </c>
      <c r="L98" s="365">
        <f>SUMIFS(Tabel2[Afnameklanten (∑)],Tabel2[Tariefcomponent],"Toeslagen")</f>
        <v>0</v>
      </c>
      <c r="M98" s="365" t="e">
        <f>SUMIFS(Tabel2[Afnameklanten op TRHS (∑)],Tabel2[Tariefcomponent],"Toeslagen")</f>
        <v>#VALUE!</v>
      </c>
      <c r="N98" s="365" t="e">
        <f>SUMIFS(Tabel2[Afnameklanten op MS (∑)],Tabel2[Tariefcomponent],"Toeslagen")</f>
        <v>#VALUE!</v>
      </c>
      <c r="O98" s="365" t="e">
        <f>SUMIFS(Tabel2[Afnameklanten op TRLS (∑)],Tabel2[Tariefcomponent],"Toeslagen")</f>
        <v>#VALUE!</v>
      </c>
      <c r="P98" s="365" t="e">
        <f>SUMIFS(Tabel2[Afnameklanten op LS (∑)],Tabel2[Tariefcomponent],"Toeslagen")</f>
        <v>#VALUE!</v>
      </c>
      <c r="Q98" s="364" t="e">
        <f>SUMIFS(Tabel2[Afnameklanten op LS met piekmeting (∑)],Tabel2[Tariefcomponent],"Toeslagen")</f>
        <v>#DIV/0!</v>
      </c>
      <c r="R98" s="1257" t="e">
        <f>SUMIFS(Tabel2[Afnameklanten met klassieke/terugdraaiende meter (∑)],Tabel2[Tariefcomponent],"Toeslagen")</f>
        <v>#DIV/0!</v>
      </c>
      <c r="S98" s="1258">
        <f>SUMIFS(Tabel2[Injectieklanten (∑)],Tabel2[Tariefcomponent],"Toeslagen")</f>
        <v>0</v>
      </c>
      <c r="T98" s="591"/>
      <c r="V98" s="592"/>
      <c r="AG98" s="60"/>
    </row>
    <row r="99" spans="1:33" ht="15.75" thickBot="1">
      <c r="A99" s="141"/>
      <c r="B99" s="142"/>
      <c r="C99" s="142"/>
      <c r="D99" s="142"/>
      <c r="E99" s="142"/>
      <c r="F99" s="142" t="s">
        <v>564</v>
      </c>
      <c r="G99" s="143"/>
      <c r="H99" s="243"/>
      <c r="I99" s="244"/>
      <c r="J99" s="1252"/>
      <c r="K99" s="307">
        <f>SUMIFS(Tabel2[Totale budget],Tabel2[Subactiviteit],"Transmissie",Tabel2[Tariefcomponent],"Netgebruik")</f>
        <v>0</v>
      </c>
      <c r="L99" s="307">
        <f>SUMIFS(Tabel2[Afnameklanten (∑)],Tabel2[Subactiviteit],"Transmissie",Tabel2[Tariefcomponent],"Netgebruik")</f>
        <v>0</v>
      </c>
      <c r="M99" s="307" t="e">
        <f>SUMIFS(Tabel2[Afnameklanten op TRHS (∑)],Tabel2[Subactiviteit],"Transmissie",Tabel2[Tariefcomponent],"Netgebruik")</f>
        <v>#VALUE!</v>
      </c>
      <c r="N99" s="307" t="e">
        <f>SUMIFS(Tabel2[Afnameklanten op MS (∑)],Tabel2[Subactiviteit],"Transmissie",Tabel2[Tariefcomponent],"Netgebruik")</f>
        <v>#VALUE!</v>
      </c>
      <c r="O99" s="307" t="e">
        <f>SUMIFS(Tabel2[Afnameklanten op TRLS (∑)],Tabel2[Subactiviteit],"Transmissie",Tabel2[Tariefcomponent],"Netgebruik")</f>
        <v>#VALUE!</v>
      </c>
      <c r="P99" s="307" t="e">
        <f>SUMIFS(Tabel2[Afnameklanten op LS (∑)],Tabel2[Subactiviteit],"Transmissie",Tabel2[Tariefcomponent],"Netgebruik")</f>
        <v>#VALUE!</v>
      </c>
      <c r="Q99" s="306" t="e">
        <f>SUMIFS(Tabel2[Afnameklanten op LS met piekmeting (∑)],Tabel2[Subactiviteit],"Transmissie",Tabel2[Tariefcomponent],"Netgebruik")</f>
        <v>#DIV/0!</v>
      </c>
      <c r="R99" s="1259" t="e">
        <f>SUMIFS(Tabel2[Afnameklanten met klassieke/terugdraaiende meter (∑)],Tabel2[Subactiviteit],"Transmissie",Tabel2[Tariefcomponent],"Netgebruik")</f>
        <v>#DIV/0!</v>
      </c>
      <c r="S99" s="1260">
        <f>SUMIFS(Tabel2[Injectieklanten (∑)],Tabel2[Subactiviteit],"Transmissie",Tabel2[Tariefcomponent],"Netgebruik")</f>
        <v>0</v>
      </c>
      <c r="T99" s="591"/>
      <c r="AG99" s="60"/>
    </row>
  </sheetData>
  <sheetProtection algorithmName="SHA-512" hashValue="ZIzLylfiPL1UOiUbdUPgZj7zZoGaCtLeTNELcp8XOYA3rcuNy7prPJturkwQ2aFuQtiAxEb4kGE67Z56SZgSDw==" saltValue="HEfNdzKhliKQtmyQvicE1A==" spinCount="100000" sheet="1" objects="1" scenarios="1" insertRows="0" deleteRows="0" sort="0" autoFilter="0"/>
  <mergeCells count="5">
    <mergeCell ref="E4:F4"/>
    <mergeCell ref="A1:G1"/>
    <mergeCell ref="F93:G93"/>
    <mergeCell ref="F94:G94"/>
    <mergeCell ref="H4:I4"/>
  </mergeCells>
  <phoneticPr fontId="50" type="noConversion"/>
  <conditionalFormatting sqref="D99">
    <cfRule type="expression" dxfId="175" priority="5" stopIfTrue="1">
      <formula>$C99="Exogeen"</formula>
    </cfRule>
  </conditionalFormatting>
  <conditionalFormatting sqref="L8:L90 S8:S90">
    <cfRule type="expression" dxfId="174" priority="3">
      <formula>$H8=""</formula>
    </cfRule>
  </conditionalFormatting>
  <conditionalFormatting sqref="M8:R90">
    <cfRule type="expression" dxfId="173" priority="2">
      <formula>$I8=""</formula>
    </cfRule>
  </conditionalFormatting>
  <dataValidations count="13">
    <dataValidation type="list" allowBlank="1" showInputMessage="1" showErrorMessage="1" sqref="AJ8" xr:uid="{00000000-0002-0000-0600-000000000000}">
      <formula1>INDIRECT("Keuze_Activiteit")</formula1>
    </dataValidation>
    <dataValidation type="list" allowBlank="1" showInputMessage="1" showErrorMessage="1" sqref="AK8" xr:uid="{00000000-0002-0000-0600-000001000000}">
      <formula1>INDIRECT("Keuze_Subactiviteit")</formula1>
    </dataValidation>
    <dataValidation type="list" allowBlank="1" showInputMessage="1" showErrorMessage="1" sqref="AL8" xr:uid="{00000000-0002-0000-0600-000002000000}">
      <formula1>INDIRECT("Keuze_TariefcomponentN")</formula1>
    </dataValidation>
    <dataValidation type="list" allowBlank="1" showInputMessage="1" showErrorMessage="1" sqref="AM8" xr:uid="{00000000-0002-0000-0600-000003000000}">
      <formula1>INDIRECT("Keuze_TariefcomponentO")</formula1>
    </dataValidation>
    <dataValidation type="list" allowBlank="1" showInputMessage="1" showErrorMessage="1" sqref="A8:A90" xr:uid="{00000000-0002-0000-0600-000004000000}">
      <formula1>"Distributie,Transmissie"</formula1>
    </dataValidation>
    <dataValidation type="list" allowBlank="1" showInputMessage="1" showErrorMessage="1" sqref="B8:B90" xr:uid="{00000000-0002-0000-0600-000005000000}">
      <formula1>"Netgebruik,Reactieve energie,Databeheer,Openbare dienstverplichtingen,Overige transmissie"</formula1>
    </dataValidation>
    <dataValidation type="list" allowBlank="1" showInputMessage="1" showErrorMessage="1" sqref="C8:C90" xr:uid="{00000000-0002-0000-0600-000006000000}">
      <formula1>"Endogeen,Exogeen"</formula1>
    </dataValidation>
    <dataValidation type="list" allowBlank="1" showInputMessage="1" showErrorMessage="1" sqref="D8:D90" xr:uid="{00000000-0002-0000-0600-000007000000}">
      <formula1>"Afschrijvingen,Netto-operationele kosten,Afbouw van regulatoire saldi,Marge"</formula1>
    </dataValidation>
    <dataValidation type="list" allowBlank="1" showInputMessage="1" showErrorMessage="1" sqref="E8:E90" xr:uid="{00000000-0002-0000-0600-000008000000}">
      <formula1>"Direct,Indirect"</formula1>
    </dataValidation>
    <dataValidation type="list" allowBlank="1" showInputMessage="1" showErrorMessage="1" sqref="F8:F90" xr:uid="{00000000-0002-0000-0600-000009000000}">
      <formula1>"Capaciteitsgerelateerd,Niet-capaciteitsgerelateerd"</formula1>
    </dataValidation>
    <dataValidation type="list" allowBlank="1" showInputMessage="1" showErrorMessage="1" sqref="H8:H90" xr:uid="{D3B7681F-8B02-45E6-BB61-E063E41AC7A0}">
      <formula1>INDIRECT("VDSL1[Verdeelsleutel]")</formula1>
    </dataValidation>
    <dataValidation type="list" allowBlank="1" showInputMessage="1" showErrorMessage="1" sqref="I8:I90" xr:uid="{DC1D5A81-764B-4B8B-AED9-A8F42FC44E04}">
      <formula1>INDIRECT("VDSL2[Verdeelsleutel]")</formula1>
    </dataValidation>
    <dataValidation type="list" allowBlank="1" showInputMessage="1" showErrorMessage="1" sqref="J8:J90" xr:uid="{97680AB4-2033-4EFF-B454-B0B05C4F7857}">
      <formula1>INDIRECT("VDSL3[Verdeelsleutel]")</formula1>
    </dataValidation>
  </dataValidations>
  <pageMargins left="0.7" right="0.7" top="0.75" bottom="0.75" header="0.3" footer="0.3"/>
  <pageSetup paperSize="9" orientation="portrait" r:id="rId1"/>
  <ignoredErrors>
    <ignoredError sqref="M96:R96" evalError="1"/>
  </ignoredErrors>
  <drawing r:id="rId2"/>
  <tableParts count="1">
    <tablePart r:id="rId3"/>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ublished="0" codeName="Blad18"/>
  <dimension ref="A1:W59"/>
  <sheetViews>
    <sheetView zoomScaleNormal="100" workbookViewId="0">
      <selection activeCell="E4" sqref="E4:F4"/>
    </sheetView>
  </sheetViews>
  <sheetFormatPr defaultColWidth="20.7109375" defaultRowHeight="15"/>
  <cols>
    <col min="1" max="1" width="40.7109375" style="1" customWidth="1"/>
    <col min="2" max="9" width="20.7109375" style="1"/>
    <col min="10" max="15" width="20.7109375" style="1" customWidth="1"/>
    <col min="16" max="16384" width="20.7109375" style="1"/>
  </cols>
  <sheetData>
    <row r="1" spans="1:10" ht="18.75" thickBot="1">
      <c r="A1" s="1425" t="s">
        <v>219</v>
      </c>
      <c r="B1" s="1426"/>
      <c r="C1" s="1426"/>
      <c r="D1" s="1426"/>
      <c r="E1" s="1426"/>
      <c r="F1" s="1426"/>
      <c r="G1" s="1426"/>
      <c r="H1" s="1426"/>
      <c r="I1" s="1426"/>
      <c r="J1" s="1494"/>
    </row>
    <row r="2" spans="1:10" ht="18">
      <c r="A2" s="52"/>
      <c r="B2" s="52"/>
      <c r="C2" s="52"/>
      <c r="D2" s="52"/>
      <c r="E2" s="52"/>
      <c r="F2" s="63"/>
      <c r="G2" s="63"/>
    </row>
    <row r="3" spans="1:10" ht="15.75" thickBot="1">
      <c r="A3" s="54"/>
      <c r="B3" s="54"/>
      <c r="C3" s="54"/>
      <c r="D3" s="54"/>
      <c r="E3" s="55"/>
      <c r="F3" s="64"/>
      <c r="G3" s="64"/>
    </row>
    <row r="4" spans="1:10" ht="15.75" thickBot="1">
      <c r="A4" s="56"/>
      <c r="C4" s="57" t="s">
        <v>6</v>
      </c>
      <c r="D4" s="56"/>
      <c r="E4" s="1418" t="str">
        <f>DNB</f>
        <v>Naam distributienetbeheerder</v>
      </c>
      <c r="F4" s="1420"/>
      <c r="G4" s="66"/>
    </row>
    <row r="7" spans="1:10" ht="50.25" customHeight="1" thickBot="1">
      <c r="A7" s="254" t="s">
        <v>82</v>
      </c>
      <c r="B7" s="155" t="s">
        <v>101</v>
      </c>
      <c r="C7" s="156" t="s">
        <v>323</v>
      </c>
      <c r="D7" s="144" t="s">
        <v>309</v>
      </c>
      <c r="E7" s="144" t="s">
        <v>277</v>
      </c>
      <c r="F7" s="273" t="s">
        <v>310</v>
      </c>
      <c r="G7" s="273" t="s">
        <v>307</v>
      </c>
      <c r="H7" s="273" t="s">
        <v>549</v>
      </c>
      <c r="I7" s="273" t="s">
        <v>278</v>
      </c>
    </row>
    <row r="8" spans="1:10">
      <c r="A8" s="148" t="s">
        <v>83</v>
      </c>
      <c r="B8" s="261">
        <f>SUMIFS(Tabel2[Totale budget],Tabel2[Tariefcomponent],$A8)</f>
        <v>0</v>
      </c>
      <c r="C8" s="172" t="e">
        <f>SUMIFS(Tabel2[Afnameklanten op TRHS (∑)],Tabel2[Tariefcomponent],$A8)</f>
        <v>#DIV/0!</v>
      </c>
      <c r="D8" s="262" t="e">
        <f>SUMIFS(Tabel2[Afnameklanten op MS (∑)],Tabel2[Tariefcomponent],$A8)</f>
        <v>#VALUE!</v>
      </c>
      <c r="E8" s="262" t="e">
        <f>SUMIFS(Tabel2[Afnameklanten op TRLS (∑)],Tabel2[Tariefcomponent],$A8)</f>
        <v>#VALUE!</v>
      </c>
      <c r="F8" s="263" t="e">
        <f>SUMIFS(Tabel2[Afnameklanten op LS (∑)],Tabel2[Tariefcomponent],$A8)</f>
        <v>#VALUE!</v>
      </c>
      <c r="G8" s="263" t="e">
        <f>SUMIFS(Tabel2[Afnameklanten op LS met piekmeting (∑)],Tabel2[Tariefcomponent],$A8)</f>
        <v>#DIV/0!</v>
      </c>
      <c r="H8" s="263" t="e">
        <f>SUMIFS(Tabel2[Afnameklanten met klassieke/terugdraaiende meter (∑)],Tabel2[Tariefcomponent],$A8)</f>
        <v>#DIV/0!</v>
      </c>
      <c r="I8" s="263" t="e">
        <f>SUMIFS(Tabel2[Injectieklanten (∑)],Tabel2[Tariefcomponent],$A8)</f>
        <v>#VALUE!</v>
      </c>
    </row>
    <row r="9" spans="1:10">
      <c r="A9" s="132" t="s">
        <v>13</v>
      </c>
      <c r="B9" s="264">
        <f>SUMIFS(Tabel2[Totale budget],Tabel2[Tariefcomponent],$A9)</f>
        <v>0</v>
      </c>
      <c r="C9" s="174" t="e">
        <f>SUMIFS(Tabel2[Afnameklanten op TRHS (∑)],Tabel2[Tariefcomponent],$A9)</f>
        <v>#VALUE!</v>
      </c>
      <c r="D9" s="265" t="e">
        <f>SUMIFS(Tabel2[Afnameklanten op MS (∑)],Tabel2[Tariefcomponent],$A9)</f>
        <v>#VALUE!</v>
      </c>
      <c r="E9" s="265" t="e">
        <f>SUMIFS(Tabel2[Afnameklanten op TRLS (∑)],Tabel2[Tariefcomponent],$A9)</f>
        <v>#VALUE!</v>
      </c>
      <c r="F9" s="266"/>
      <c r="G9" s="266"/>
      <c r="H9" s="266"/>
      <c r="I9" s="266"/>
    </row>
    <row r="10" spans="1:10">
      <c r="A10" s="132" t="s">
        <v>84</v>
      </c>
      <c r="B10" s="264">
        <f>SUMIFS(Tabel2[Totale budget],Tabel2[Tariefcomponent],$A10)</f>
        <v>0</v>
      </c>
      <c r="C10" s="174" t="e">
        <f>SUMIFS(Tabel2[Afnameklanten op TRHS (∑)],Tabel2[Tariefcomponent],$A10)</f>
        <v>#VALUE!</v>
      </c>
      <c r="D10" s="265" t="e">
        <f>SUMIFS(Tabel2[Afnameklanten op MS (∑)],Tabel2[Tariefcomponent],$A10)</f>
        <v>#VALUE!</v>
      </c>
      <c r="E10" s="265" t="e">
        <f>SUMIFS(Tabel2[Afnameklanten op TRLS (∑)],Tabel2[Tariefcomponent],$A10)</f>
        <v>#VALUE!</v>
      </c>
      <c r="F10" s="267" t="e">
        <f>SUMIFS(Tabel2[Afnameklanten op LS (∑)],Tabel2[Tariefcomponent],$A10)</f>
        <v>#VALUE!</v>
      </c>
      <c r="G10" s="267" t="e">
        <f>SUMIFS(Tabel2[Afnameklanten op LS met piekmeting (∑)],Tabel2[Tariefcomponent],$A10)</f>
        <v>#VALUE!</v>
      </c>
      <c r="H10" s="267" t="e">
        <f>SUMIFS(Tabel2[Afnameklanten met klassieke/terugdraaiende meter (∑)],Tabel2[Tariefcomponent],$A10)</f>
        <v>#VALUE!</v>
      </c>
      <c r="I10" s="267" t="e">
        <f>SUMIFS(Tabel2[Injectieklanten (∑)],Tabel2[Tariefcomponent],$A10)</f>
        <v>#VALUE!</v>
      </c>
    </row>
    <row r="11" spans="1:10">
      <c r="A11" s="132" t="s">
        <v>85</v>
      </c>
      <c r="B11" s="264">
        <f>SUMIFS(Tabel2[Totale budget],Tabel2[Tariefcomponent],$A11)</f>
        <v>0</v>
      </c>
      <c r="C11" s="174" t="e">
        <f>SUMIFS(Tabel2[Afnameklanten op TRHS (∑)],Tabel2[Tariefcomponent],$A11)</f>
        <v>#VALUE!</v>
      </c>
      <c r="D11" s="265" t="e">
        <f>SUMIFS(Tabel2[Afnameklanten op MS (∑)],Tabel2[Tariefcomponent],$A11)</f>
        <v>#VALUE!</v>
      </c>
      <c r="E11" s="265" t="e">
        <f>SUMIFS(Tabel2[Afnameklanten op TRLS (∑)],Tabel2[Tariefcomponent],$A11)</f>
        <v>#VALUE!</v>
      </c>
      <c r="F11" s="267" t="e">
        <f>SUMIFS(Tabel2[Afnameklanten op LS (∑)],Tabel2[Tariefcomponent],$A11)</f>
        <v>#VALUE!</v>
      </c>
      <c r="G11" s="267" t="e">
        <f>SUMIFS(Tabel2[Afnameklanten op LS met piekmeting (∑)],Tabel2[Tariefcomponent],$A11)</f>
        <v>#DIV/0!</v>
      </c>
      <c r="H11" s="267" t="e">
        <f>SUMIFS(Tabel2[Afnameklanten met klassieke/terugdraaiende meter (∑)],Tabel2[Tariefcomponent],$A11)</f>
        <v>#DIV/0!</v>
      </c>
      <c r="I11" s="266"/>
    </row>
    <row r="12" spans="1:10">
      <c r="A12" s="132" t="s">
        <v>9</v>
      </c>
      <c r="B12" s="264">
        <f>SUMIFS(Tabel2[Totale budget],Tabel2[Tariefcomponent],$A12)</f>
        <v>0</v>
      </c>
      <c r="C12" s="174" t="e">
        <f>SUMIFS(Tabel2[Afnameklanten op TRHS (∑)],Tabel2[Tariefcomponent],$A12)</f>
        <v>#VALUE!</v>
      </c>
      <c r="D12" s="265" t="e">
        <f>SUMIFS(Tabel2[Afnameklanten op MS (∑)],Tabel2[Tariefcomponent],$A12)</f>
        <v>#VALUE!</v>
      </c>
      <c r="E12" s="265" t="e">
        <f>SUMIFS(Tabel2[Afnameklanten op TRLS (∑)],Tabel2[Tariefcomponent],$A12)</f>
        <v>#VALUE!</v>
      </c>
      <c r="F12" s="267" t="e">
        <f>SUMIFS(Tabel2[Afnameklanten op LS (∑)],Tabel2[Tariefcomponent],$A12)</f>
        <v>#VALUE!</v>
      </c>
      <c r="G12" s="267" t="e">
        <f>SUMIFS(Tabel2[Afnameklanten op LS met piekmeting (∑)],Tabel2[Tariefcomponent],$A12)</f>
        <v>#DIV/0!</v>
      </c>
      <c r="H12" s="267" t="e">
        <f>SUMIFS(Tabel2[Afnameklanten met klassieke/terugdraaiende meter (∑)],Tabel2[Tariefcomponent],$A12)</f>
        <v>#DIV/0!</v>
      </c>
      <c r="I12" s="266"/>
    </row>
    <row r="13" spans="1:10">
      <c r="A13" s="133" t="s">
        <v>86</v>
      </c>
      <c r="B13" s="268"/>
      <c r="C13" s="176"/>
      <c r="D13" s="269"/>
      <c r="E13" s="269"/>
      <c r="F13" s="270"/>
      <c r="G13" s="270"/>
      <c r="H13" s="270"/>
      <c r="I13" s="274"/>
    </row>
    <row r="14" spans="1:10">
      <c r="A14" s="346" t="s">
        <v>560</v>
      </c>
      <c r="B14" s="264">
        <f>SUMIFS(Tabel2[Totale budget],Tabel2[Tariefcomponent],$A$13,Tabel2[Kostenrubriek],"&lt;&gt;Tarief voor openbare dienstverplichtingen voor de financiering van groenestroomcertificaten")</f>
        <v>0</v>
      </c>
      <c r="C14" s="174" t="e">
        <f>SUMIFS(Tabel2[Afnameklanten op TRHS (∑)],Tabel2[Tariefcomponent],$A$13,Tabel2[Kostenrubriek],"&lt;&gt;Tarief voor openbare dienstverplichtingen voor de financiering van groenestroomcertificaten")</f>
        <v>#DIV/0!</v>
      </c>
      <c r="D14" s="265" t="e">
        <f>SUMIFS(Tabel2[Afnameklanten op MS (∑)],Tabel2[Tariefcomponent],$A$13,Tabel2[Kostenrubriek],"&lt;&gt;Tarief voor openbare dienstverplichtingen voor de financiering van groenestroomcertificaten")</f>
        <v>#DIV/0!</v>
      </c>
      <c r="E14" s="265" t="e">
        <f>SUMIFS(Tabel2[Afnameklanten op TRLS (∑)],Tabel2[Tariefcomponent],$A$13,Tabel2[Kostenrubriek],"&lt;&gt;Tarief voor openbare dienstverplichtingen voor de financiering van groenestroomcertificaten")</f>
        <v>#DIV/0!</v>
      </c>
      <c r="F14" s="267" t="e">
        <f>SUMIFS(Tabel2[Afnameklanten op LS (∑)],Tabel2[Tariefcomponent],$A$13,Tabel2[Kostenrubriek],"&lt;&gt;Tarief voor openbare dienstverplichtingen voor de financiering van groenestroomcertificaten")</f>
        <v>#DIV/0!</v>
      </c>
      <c r="G14" s="267" t="e">
        <f>SUMIFS(Tabel2[Afnameklanten op LS met piekmeting (∑)],Tabel2[Tariefcomponent],$A$13,Tabel2[Kostenrubriek],"&lt;&gt;Tarief voor openbare dienstverplichtingen voor de financiering van groenestroomcertificaten")</f>
        <v>#DIV/0!</v>
      </c>
      <c r="H14" s="267" t="e">
        <f>SUMIFS(Tabel2[Afnameklanten met klassieke/terugdraaiende meter (∑)],Tabel2[Tariefcomponent],$A$13,Tabel2[Kostenrubriek],"&lt;&gt;Tarief voor openbare dienstverplichtingen voor de financiering van groenestroomcertificaten")</f>
        <v>#DIV/0!</v>
      </c>
      <c r="I14" s="266"/>
    </row>
    <row r="15" spans="1:10" ht="15.75" thickBot="1">
      <c r="A15" s="346" t="s">
        <v>322</v>
      </c>
      <c r="B15" s="264">
        <f>SUMIFS(Tabel2[Totale budget],Tabel2[Tariefcomponent],$A$13,Tabel2[Kostenrubriek],"Tarief voor openbare dienstverplichtingen voor de financiering van groenestroomcertificaten")</f>
        <v>0</v>
      </c>
      <c r="C15" s="174" t="e">
        <f>SUMIFS(Tabel2[Afnameklanten op TRHS (∑)],Tabel2[Tariefcomponent],$A$13,Tabel2[Kostenrubriek],"Tarief voor openbare dienstverplichtingen voor de financiering van groenestroomcertificaten")</f>
        <v>#DIV/0!</v>
      </c>
      <c r="D15" s="265" t="e">
        <f>SUMIFS(Tabel2[Afnameklanten op MS (∑)],Tabel2[Tariefcomponent],$A$13,Tabel2[Kostenrubriek],"Tarief voor openbare dienstverplichtingen voor de financiering van groenestroomcertificaten")</f>
        <v>#DIV/0!</v>
      </c>
      <c r="E15" s="265" t="e">
        <f>SUMIFS(Tabel2[Afnameklanten op TRLS (∑)],Tabel2[Tariefcomponent],$A$13,Tabel2[Kostenrubriek],"Tarief voor openbare dienstverplichtingen voor de financiering van groenestroomcertificaten")</f>
        <v>#DIV/0!</v>
      </c>
      <c r="F15" s="267" t="e">
        <f>SUMIFS(Tabel2[Afnameklanten op LS (∑)],Tabel2[Tariefcomponent],$A$13,Tabel2[Kostenrubriek],"Tarief voor openbare dienstverplichtingen voor de financiering van groenestroomcertificaten")</f>
        <v>#DIV/0!</v>
      </c>
      <c r="G15" s="267" t="e">
        <f>SUMIFS(Tabel2[Afnameklanten op LS met piekmeting (∑)],Tabel2[Tariefcomponent],$A$13,Tabel2[Kostenrubriek],"Tarief voor openbare dienstverplichtingen voor de financiering van groenestroomcertificaten")</f>
        <v>#DIV/0!</v>
      </c>
      <c r="H15" s="267" t="e">
        <f>SUMIFS(Tabel2[Afnameklanten met klassieke/terugdraaiende meter (∑)],Tabel2[Tariefcomponent],$A$13,Tabel2[Kostenrubriek],"Tarief voor openbare dienstverplichtingen voor de financiering van groenestroomcertificaten")</f>
        <v>#DIV/0!</v>
      </c>
      <c r="I15" s="266"/>
    </row>
    <row r="16" spans="1:10">
      <c r="A16" s="275" t="s">
        <v>11</v>
      </c>
      <c r="B16" s="276">
        <f>SUBTOTAL(109,Tabel3A[Totale budget])</f>
        <v>0</v>
      </c>
      <c r="C16" s="277" t="e">
        <f>SUBTOTAL(109,Tabel3A[Afnameklanten  op TRHS (∑)])</f>
        <v>#DIV/0!</v>
      </c>
      <c r="D16" s="278" t="e">
        <f>SUBTOTAL(109,Tabel3A[Afnameklanten op MS (∑)])</f>
        <v>#VALUE!</v>
      </c>
      <c r="E16" s="278" t="e">
        <f>SUBTOTAL(109,Tabel3A[Afnameklanten op TRLS (∑)])</f>
        <v>#VALUE!</v>
      </c>
      <c r="F16" s="279" t="e">
        <f>SUBTOTAL(109,Tabel3A[Afnameklanten op LS (∑)])</f>
        <v>#VALUE!</v>
      </c>
      <c r="G16" s="279" t="e">
        <f>SUBTOTAL(109,Tabel3A[Afnameklanten op LS met piekmeting (∑)])</f>
        <v>#DIV/0!</v>
      </c>
      <c r="H16" s="279" t="e">
        <f>SUBTOTAL(109,Tabel3A[Afnameklanten met klassieke/terugdraaiende meter (∑)])</f>
        <v>#DIV/0!</v>
      </c>
      <c r="I16" s="279" t="e">
        <f>SUBTOTAL(109,Tabel3A[Injectieklanten (∑)])</f>
        <v>#VALUE!</v>
      </c>
    </row>
    <row r="19" spans="1:23" ht="15.75" thickBot="1"/>
    <row r="20" spans="1:23" ht="45.75" thickBot="1">
      <c r="A20" s="130" t="s">
        <v>82</v>
      </c>
      <c r="B20" s="155" t="s">
        <v>109</v>
      </c>
      <c r="C20" s="75" t="s">
        <v>308</v>
      </c>
      <c r="D20" s="156" t="s">
        <v>102</v>
      </c>
      <c r="E20" s="145" t="s">
        <v>132</v>
      </c>
      <c r="F20" s="76" t="s">
        <v>309</v>
      </c>
      <c r="G20" s="156" t="s">
        <v>133</v>
      </c>
      <c r="H20" s="144" t="s">
        <v>269</v>
      </c>
      <c r="I20" s="145" t="s">
        <v>270</v>
      </c>
      <c r="J20" s="76" t="s">
        <v>277</v>
      </c>
      <c r="K20" s="572" t="s">
        <v>103</v>
      </c>
      <c r="L20" s="350" t="s">
        <v>310</v>
      </c>
      <c r="M20" s="156" t="s">
        <v>119</v>
      </c>
      <c r="N20" s="144" t="s">
        <v>547</v>
      </c>
      <c r="O20" s="271" t="s">
        <v>120</v>
      </c>
      <c r="P20" s="271" t="s">
        <v>548</v>
      </c>
      <c r="Q20" s="145" t="s">
        <v>121</v>
      </c>
      <c r="R20" s="272" t="s">
        <v>278</v>
      </c>
      <c r="S20" s="146" t="s">
        <v>209</v>
      </c>
      <c r="T20" s="146" t="s">
        <v>324</v>
      </c>
      <c r="U20" s="146" t="s">
        <v>271</v>
      </c>
      <c r="V20" s="146" t="s">
        <v>104</v>
      </c>
      <c r="W20" s="147" t="s">
        <v>105</v>
      </c>
    </row>
    <row r="21" spans="1:23" ht="18">
      <c r="A21" s="132" t="s">
        <v>83</v>
      </c>
      <c r="B21" s="149" t="s">
        <v>110</v>
      </c>
      <c r="C21" s="312" t="e">
        <f>$C$8*1*INDEX(Rekenvolumes[Afnameklanten op TRHS (∑)],8)/REKENVOLUMES!$E$27/INDEX(Rekenvolumes[Afnameklanten op TRHS (∑)],8)</f>
        <v>#DIV/0!</v>
      </c>
      <c r="D21" s="313" t="e">
        <f t="shared" ref="D21:E23" si="0">$C21</f>
        <v>#DIV/0!</v>
      </c>
      <c r="E21" s="314" t="e">
        <f t="shared" si="0"/>
        <v>#DIV/0!</v>
      </c>
      <c r="F21" s="315" t="e">
        <f>$D$8*1*(INDEX(Rekenvolumes[Afnameklanten op MS (∑)],8)-(1-FACTOR_DOORVOER)*INDEX(Rekenvolumes[Doorvoer op 26-1kV],8))/(REKENVOLUMES!$H$27-(1-FACTOR_DOORVOER)*REKENVOLUMES!$K$27)/(INDEX(Rekenvolumes[Afnameklanten op MS (∑)],8)-(1-FACTOR_DOORVOER)*INDEX(Rekenvolumes[Doorvoer op 26-1kV],8))</f>
        <v>#VALUE!</v>
      </c>
      <c r="G21" s="313" t="e">
        <f t="shared" ref="G21:H23" si="1">$F21</f>
        <v>#VALUE!</v>
      </c>
      <c r="H21" s="316" t="e">
        <f t="shared" si="1"/>
        <v>#VALUE!</v>
      </c>
      <c r="I21" s="314" t="e">
        <f>$F21*FACTOR_DOORVOER</f>
        <v>#VALUE!</v>
      </c>
      <c r="J21" s="315" t="e">
        <f>$E$8*1*INDEX(Rekenvolumes[Afnameklanten op TRLS (∑)],8)/REKENVOLUMES!$L$27/INDEX(Rekenvolumes[Afnameklanten op TRLS (∑)],8)</f>
        <v>#VALUE!</v>
      </c>
      <c r="K21" s="312" t="e">
        <f>$J21</f>
        <v>#VALUE!</v>
      </c>
      <c r="L21" s="321"/>
      <c r="M21" s="320"/>
      <c r="N21" s="317"/>
      <c r="O21" s="324"/>
      <c r="P21" s="324"/>
      <c r="Q21" s="318" t="s">
        <v>122</v>
      </c>
      <c r="R21" s="340" t="s">
        <v>122</v>
      </c>
      <c r="S21" s="321" t="s">
        <v>122</v>
      </c>
      <c r="T21" s="321" t="str">
        <f t="shared" ref="T21:T41" si="2">$R21</f>
        <v xml:space="preserve"> </v>
      </c>
      <c r="U21" s="321" t="s">
        <v>122</v>
      </c>
      <c r="V21" s="321" t="s">
        <v>122</v>
      </c>
      <c r="W21" s="322" t="s">
        <v>122</v>
      </c>
    </row>
    <row r="22" spans="1:23" ht="18">
      <c r="A22" s="132" t="s">
        <v>83</v>
      </c>
      <c r="B22" s="150" t="s">
        <v>111</v>
      </c>
      <c r="C22" s="312" t="e">
        <f>$C$8*FACTOR_MP_TV*INDEX(Rekenvolumes[Afnameklanten op TRHS (∑)],8)/REKENVOLUMES!$E$27/INDEX(Rekenvolumes[Afnameklanten op TRHS (∑)],9)</f>
        <v>#DIV/0!</v>
      </c>
      <c r="D22" s="313" t="e">
        <f t="shared" si="0"/>
        <v>#DIV/0!</v>
      </c>
      <c r="E22" s="314" t="e">
        <f t="shared" si="0"/>
        <v>#DIV/0!</v>
      </c>
      <c r="F22" s="315" t="e">
        <f>$D$8*FACTOR_MP_TV*(INDEX(Rekenvolumes[Afnameklanten op MS (∑)],8)-(1-FACTOR_DOORVOER)*INDEX(Rekenvolumes[Doorvoer op 26-1kV],8))/(REKENVOLUMES!$H$27-(1-FACTOR_DOORVOER)*REKENVOLUMES!$K$27)/(INDEX(Rekenvolumes[Afnameklanten op MS (∑)],9)-(1-FACTOR_DOORVOER)*INDEX(Rekenvolumes[Doorvoer op 26-1kV],9))</f>
        <v>#VALUE!</v>
      </c>
      <c r="G22" s="313" t="e">
        <f t="shared" si="1"/>
        <v>#VALUE!</v>
      </c>
      <c r="H22" s="316" t="e">
        <f t="shared" si="1"/>
        <v>#VALUE!</v>
      </c>
      <c r="I22" s="314" t="e">
        <f>$F22*FACTOR_DOORVOER</f>
        <v>#VALUE!</v>
      </c>
      <c r="J22" s="315" t="e">
        <f>$E$8*FACTOR_MP_TV*INDEX(Rekenvolumes[Afnameklanten op TRLS (∑)],8)/REKENVOLUMES!$L$27/INDEX(Rekenvolumes[Afnameklanten op TRLS (∑)],9)</f>
        <v>#VALUE!</v>
      </c>
      <c r="K22" s="312" t="e">
        <f>$J22</f>
        <v>#VALUE!</v>
      </c>
      <c r="L22" s="321"/>
      <c r="M22" s="320"/>
      <c r="N22" s="317"/>
      <c r="O22" s="324"/>
      <c r="P22" s="324"/>
      <c r="Q22" s="318"/>
      <c r="R22" s="340" t="s">
        <v>122</v>
      </c>
      <c r="S22" s="321" t="s">
        <v>122</v>
      </c>
      <c r="T22" s="321" t="str">
        <f t="shared" si="2"/>
        <v xml:space="preserve"> </v>
      </c>
      <c r="U22" s="321" t="s">
        <v>122</v>
      </c>
      <c r="V22" s="321" t="s">
        <v>122</v>
      </c>
      <c r="W22" s="322" t="s">
        <v>122</v>
      </c>
    </row>
    <row r="23" spans="1:23" ht="18">
      <c r="A23" s="132" t="s">
        <v>83</v>
      </c>
      <c r="B23" s="150" t="s">
        <v>112</v>
      </c>
      <c r="C23" s="312" t="e">
        <f>$C$8*FACTOR_OST*INDEX(Rekenvolumes[Afnameklanten op TRHS (∑)],10)/12/REKENVOLUMES!$E$27/INDEX(Rekenvolumes[Afnameklanten op TRHS (∑)],10)</f>
        <v>#DIV/0!</v>
      </c>
      <c r="D23" s="313" t="e">
        <f t="shared" si="0"/>
        <v>#DIV/0!</v>
      </c>
      <c r="E23" s="314" t="e">
        <f t="shared" si="0"/>
        <v>#DIV/0!</v>
      </c>
      <c r="F23" s="315" t="e">
        <f>$D$8*FACTOR_OST*(INDEX(Rekenvolumes[Afnameklanten op MS (∑)],10)-(1-FACTOR_DOORVOER)*INDEX(Rekenvolumes[Doorvoer op 26-1kV],10))/12/(REKENVOLUMES!$H$27-(1-FACTOR_DOORVOER)*REKENVOLUMES!$K$27)/(INDEX(Rekenvolumes[Afnameklanten op MS (∑)],10)-(1-FACTOR_DOORVOER)*INDEX(Rekenvolumes[Doorvoer op 26-1kV],10))</f>
        <v>#VALUE!</v>
      </c>
      <c r="G23" s="313" t="e">
        <f t="shared" si="1"/>
        <v>#VALUE!</v>
      </c>
      <c r="H23" s="316" t="e">
        <f t="shared" si="1"/>
        <v>#VALUE!</v>
      </c>
      <c r="I23" s="314" t="e">
        <f>$F23*FACTOR_DOORVOER</f>
        <v>#VALUE!</v>
      </c>
      <c r="J23" s="315" t="e">
        <f>$E$8*FACTOR_OST*INDEX(Rekenvolumes[Afnameklanten op TRLS (∑)],10)/12/REKENVOLUMES!$L$27/INDEX(Rekenvolumes[Afnameklanten op TRLS (∑)],10)</f>
        <v>#VALUE!</v>
      </c>
      <c r="K23" s="312" t="e">
        <f>$J23</f>
        <v>#VALUE!</v>
      </c>
      <c r="L23" s="321"/>
      <c r="M23" s="320"/>
      <c r="N23" s="317"/>
      <c r="O23" s="324"/>
      <c r="P23" s="324"/>
      <c r="Q23" s="318"/>
      <c r="R23" s="340" t="s">
        <v>122</v>
      </c>
      <c r="S23" s="321" t="s">
        <v>122</v>
      </c>
      <c r="T23" s="321" t="str">
        <f t="shared" si="2"/>
        <v xml:space="preserve"> </v>
      </c>
      <c r="U23" s="321" t="s">
        <v>122</v>
      </c>
      <c r="V23" s="321" t="s">
        <v>122</v>
      </c>
      <c r="W23" s="322" t="s">
        <v>122</v>
      </c>
    </row>
    <row r="24" spans="1:23" ht="18">
      <c r="A24" s="132" t="s">
        <v>83</v>
      </c>
      <c r="B24" s="150" t="s">
        <v>113</v>
      </c>
      <c r="C24" s="323"/>
      <c r="D24" s="320"/>
      <c r="E24" s="318"/>
      <c r="F24" s="322"/>
      <c r="G24" s="320"/>
      <c r="H24" s="317"/>
      <c r="I24" s="318"/>
      <c r="J24" s="322"/>
      <c r="K24" s="323"/>
      <c r="L24" s="326"/>
      <c r="M24" s="325" t="e">
        <f>PROCENT_GEMMP*$G$8/(INDEX(Rekenvolumes[Afnameklanten op LS met piekmeting],11)+FACTOR_DOORVOER*INDEX(Rekenvolumes[Doorvoer op LS met piekmeting],11))</f>
        <v>#DIV/0!</v>
      </c>
      <c r="N24" s="345" t="e">
        <f>FACTOR_DOORVOER*$M24</f>
        <v>#DIV/0!</v>
      </c>
      <c r="O24" s="324"/>
      <c r="P24" s="324"/>
      <c r="Q24" s="318"/>
      <c r="R24" s="340" t="s">
        <v>122</v>
      </c>
      <c r="S24" s="321" t="s">
        <v>122</v>
      </c>
      <c r="T24" s="321" t="str">
        <f t="shared" si="2"/>
        <v xml:space="preserve"> </v>
      </c>
      <c r="U24" s="321" t="s">
        <v>122</v>
      </c>
      <c r="V24" s="321" t="s">
        <v>122</v>
      </c>
      <c r="W24" s="322" t="s">
        <v>122</v>
      </c>
    </row>
    <row r="25" spans="1:23" ht="18">
      <c r="A25" s="132" t="s">
        <v>83</v>
      </c>
      <c r="B25" s="150" t="s">
        <v>114</v>
      </c>
      <c r="C25" s="323"/>
      <c r="D25" s="320"/>
      <c r="E25" s="318"/>
      <c r="F25" s="322"/>
      <c r="G25" s="320"/>
      <c r="H25" s="317"/>
      <c r="I25" s="318"/>
      <c r="J25" s="322"/>
      <c r="K25" s="323"/>
      <c r="L25" s="326"/>
      <c r="M25" s="320"/>
      <c r="N25" s="317"/>
      <c r="O25" s="319" t="e">
        <f>FACTOR_VAST*$M$24</f>
        <v>#DIV/0!</v>
      </c>
      <c r="P25" s="343" t="e">
        <f>FACTOR_DOORVOER*$O25</f>
        <v>#DIV/0!</v>
      </c>
      <c r="Q25" s="318"/>
      <c r="R25" s="340" t="s">
        <v>122</v>
      </c>
      <c r="S25" s="321" t="s">
        <v>122</v>
      </c>
      <c r="T25" s="321" t="str">
        <f t="shared" si="2"/>
        <v xml:space="preserve"> </v>
      </c>
      <c r="U25" s="321" t="s">
        <v>122</v>
      </c>
      <c r="V25" s="321" t="s">
        <v>122</v>
      </c>
      <c r="W25" s="322" t="s">
        <v>122</v>
      </c>
    </row>
    <row r="26" spans="1:23" ht="18">
      <c r="A26" s="132" t="s">
        <v>83</v>
      </c>
      <c r="B26" s="150" t="s">
        <v>115</v>
      </c>
      <c r="C26" s="323"/>
      <c r="D26" s="320"/>
      <c r="E26" s="318"/>
      <c r="F26" s="322"/>
      <c r="G26" s="320"/>
      <c r="H26" s="317"/>
      <c r="I26" s="318"/>
      <c r="J26" s="322"/>
      <c r="K26" s="323"/>
      <c r="L26" s="326"/>
      <c r="M26" s="325" t="e">
        <f>PROCENT_KWH*$G$8/(INDEX(Rekenvolumes[Afnameklanten op LS met piekmeting],12)+FACTOR_DOORVOER*INDEX(Rekenvolumes[Doorvoer op LS met piekmeting],12)+INDEX(Rekenvolumes[Afnameklanten op LS met piekmeting],13)+FACTOR_DOORVOER*INDEX(Rekenvolumes[Doorvoer op LS met piekmeting],13)+INDEX(Rekenvolumes[Afnameklanten op LS met piekmeting],14)+FACTOR_DOORVOER*INDEX(Rekenvolumes[Doorvoer op LS met piekmeting],14))</f>
        <v>#DIV/0!</v>
      </c>
      <c r="N26" s="345" t="e">
        <f>FACTOR_DOORVOER*$M26</f>
        <v>#DIV/0!</v>
      </c>
      <c r="O26" s="319" t="e">
        <f>($H$8-$O$25*(INDEX(Rekenvolumes[Afnameklanten op LS met klassieke meter],1)+FACTOR_DOORVOER*INDEX(Rekenvolumes[Doorvoer op LS zonder piekmeting],1)+INDEX(Rekenvolumes[Prosumenten met terugdraaiende teller op LS],1)))/(REKENVOLUMES!$Q$28+FACTOR_DOORVOER*REKENVOLUMES!$R$28+REKENVOLUMES!$S$28)</f>
        <v>#DIV/0!</v>
      </c>
      <c r="P26" s="343" t="e">
        <f>FACTOR_DOORVOER*$O26</f>
        <v>#DIV/0!</v>
      </c>
      <c r="Q26" s="318"/>
      <c r="R26" s="340" t="s">
        <v>122</v>
      </c>
      <c r="S26" s="321" t="s">
        <v>122</v>
      </c>
      <c r="T26" s="321" t="str">
        <f t="shared" si="2"/>
        <v xml:space="preserve"> </v>
      </c>
      <c r="U26" s="321" t="s">
        <v>122</v>
      </c>
      <c r="V26" s="321" t="s">
        <v>122</v>
      </c>
      <c r="W26" s="322" t="s">
        <v>122</v>
      </c>
    </row>
    <row r="27" spans="1:23" ht="18">
      <c r="A27" s="132" t="s">
        <v>83</v>
      </c>
      <c r="B27" s="150" t="s">
        <v>116</v>
      </c>
      <c r="C27" s="323"/>
      <c r="D27" s="320"/>
      <c r="E27" s="318"/>
      <c r="F27" s="322"/>
      <c r="G27" s="320"/>
      <c r="H27" s="317"/>
      <c r="I27" s="318"/>
      <c r="J27" s="322"/>
      <c r="K27" s="323"/>
      <c r="L27" s="321"/>
      <c r="M27" s="320"/>
      <c r="N27" s="317"/>
      <c r="O27" s="324"/>
      <c r="P27" s="324"/>
      <c r="Q27" s="318"/>
      <c r="R27" s="341" t="e">
        <f>$I$8/INDEX(Rekenvolumes[Injectieklanten (∑)],15)</f>
        <v>#VALUE!</v>
      </c>
      <c r="S27" s="326" t="e">
        <f>$R27</f>
        <v>#VALUE!</v>
      </c>
      <c r="T27" s="326" t="e">
        <f t="shared" si="2"/>
        <v>#VALUE!</v>
      </c>
      <c r="U27" s="326" t="e">
        <f>$R27</f>
        <v>#VALUE!</v>
      </c>
      <c r="V27" s="326" t="e">
        <f>$R27</f>
        <v>#VALUE!</v>
      </c>
      <c r="W27" s="326" t="e">
        <f>$R27</f>
        <v>#VALUE!</v>
      </c>
    </row>
    <row r="28" spans="1:23">
      <c r="A28" s="132" t="s">
        <v>13</v>
      </c>
      <c r="B28" s="150" t="s">
        <v>197</v>
      </c>
      <c r="C28" s="312" t="e">
        <f>$C$9/(INDEX(Rekenvolumes[Afnameklanten op TRHS (∑)],16)+INDEX(Rekenvolumes[Afnameklanten op TRHS (∑)],17))</f>
        <v>#VALUE!</v>
      </c>
      <c r="D28" s="313" t="e">
        <f t="shared" ref="D28:E30" si="3">$C28</f>
        <v>#VALUE!</v>
      </c>
      <c r="E28" s="314" t="e">
        <f t="shared" si="3"/>
        <v>#VALUE!</v>
      </c>
      <c r="F28" s="315" t="e">
        <f>$D$9/(INDEX(Rekenvolumes[Afnameklanten op MS (∑)],16)+INDEX(Rekenvolumes[Afnameklanten op MS (∑)],17)-(1-FACTOR_DOORVOER)*INDEX(Rekenvolumes[Doorvoer op 26-1kV],16)-(1-FACTOR_DOORVOER)*INDEX(Rekenvolumes[Doorvoer op 26-1kV],17))</f>
        <v>#VALUE!</v>
      </c>
      <c r="G28" s="313" t="e">
        <f t="shared" ref="G28:H30" si="4">$F28</f>
        <v>#VALUE!</v>
      </c>
      <c r="H28" s="316" t="e">
        <f t="shared" si="4"/>
        <v>#VALUE!</v>
      </c>
      <c r="I28" s="314" t="e">
        <f>$F28*FACTOR_DOORVOER</f>
        <v>#VALUE!</v>
      </c>
      <c r="J28" s="315" t="e">
        <f>$E$9/(INDEX(Rekenvolumes[Afnameklanten op TRLS (∑)],16)+INDEX(Rekenvolumes[Afnameklanten op TRLS (∑)],17))</f>
        <v>#VALUE!</v>
      </c>
      <c r="K28" s="312" t="e">
        <f>$J28</f>
        <v>#VALUE!</v>
      </c>
      <c r="L28" s="321"/>
      <c r="M28" s="320"/>
      <c r="N28" s="317"/>
      <c r="O28" s="324"/>
      <c r="P28" s="324"/>
      <c r="Q28" s="318"/>
      <c r="R28" s="340" t="s">
        <v>122</v>
      </c>
      <c r="S28" s="321" t="s">
        <v>122</v>
      </c>
      <c r="T28" s="321" t="str">
        <f t="shared" si="2"/>
        <v xml:space="preserve"> </v>
      </c>
      <c r="U28" s="321" t="s">
        <v>122</v>
      </c>
      <c r="V28" s="321" t="s">
        <v>122</v>
      </c>
      <c r="W28" s="322" t="s">
        <v>122</v>
      </c>
    </row>
    <row r="29" spans="1:23">
      <c r="A29" s="132" t="s">
        <v>84</v>
      </c>
      <c r="B29" s="150" t="s">
        <v>7</v>
      </c>
      <c r="C29" s="355" t="e">
        <f>TAR_DATA_NIETLS_2021*CPI_JAARMIN1/CPI_2020</f>
        <v>#DIV/0!</v>
      </c>
      <c r="D29" s="174" t="e">
        <f t="shared" si="3"/>
        <v>#DIV/0!</v>
      </c>
      <c r="E29" s="175" t="e">
        <f t="shared" si="3"/>
        <v>#DIV/0!</v>
      </c>
      <c r="F29" s="358" t="e">
        <f>TAR_DATA_NIETLS_2021*CPI_JAARMIN1/CPI_2020</f>
        <v>#DIV/0!</v>
      </c>
      <c r="G29" s="174" t="e">
        <f t="shared" si="4"/>
        <v>#DIV/0!</v>
      </c>
      <c r="H29" s="265" t="e">
        <f t="shared" si="4"/>
        <v>#DIV/0!</v>
      </c>
      <c r="I29" s="175" t="e">
        <f>$F29*FACTOR_DOORVOER</f>
        <v>#DIV/0!</v>
      </c>
      <c r="J29" s="358" t="e">
        <f>TAR_DATA_NIETLS_2021*CPI_JAARMIN1/CPI_2020</f>
        <v>#DIV/0!</v>
      </c>
      <c r="K29" s="355" t="e">
        <f>$J29</f>
        <v>#DIV/0!</v>
      </c>
      <c r="L29" s="268" t="e">
        <f>TAR_DATA_NIETLS_2021*CPI_JAARMIN1/CPI_2020</f>
        <v>#DIV/0!</v>
      </c>
      <c r="M29" s="174" t="e">
        <f>$L29</f>
        <v>#DIV/0!</v>
      </c>
      <c r="N29" s="265" t="e">
        <f>FACTOR_DOORVOER*$M29</f>
        <v>#DIV/0!</v>
      </c>
      <c r="O29" s="574"/>
      <c r="P29" s="574"/>
      <c r="Q29" s="352"/>
      <c r="R29" s="575" t="s">
        <v>122</v>
      </c>
      <c r="S29" s="353" t="s">
        <v>122</v>
      </c>
      <c r="T29" s="353" t="str">
        <f t="shared" si="2"/>
        <v xml:space="preserve"> </v>
      </c>
      <c r="U29" s="353" t="s">
        <v>122</v>
      </c>
      <c r="V29" s="353" t="s">
        <v>122</v>
      </c>
      <c r="W29" s="576" t="s">
        <v>122</v>
      </c>
    </row>
    <row r="30" spans="1:23">
      <c r="A30" s="132" t="s">
        <v>84</v>
      </c>
      <c r="B30" s="150" t="s">
        <v>8</v>
      </c>
      <c r="C30" s="355" t="e">
        <f>TAR_DATA_NIETLS_2021*CPI_JAARMIN1/CPI_2020</f>
        <v>#DIV/0!</v>
      </c>
      <c r="D30" s="174" t="e">
        <f t="shared" si="3"/>
        <v>#DIV/0!</v>
      </c>
      <c r="E30" s="175" t="e">
        <f t="shared" si="3"/>
        <v>#DIV/0!</v>
      </c>
      <c r="F30" s="358" t="e">
        <f>TAR_DATA_NIETLS_2021*CPI_JAARMIN1/CPI_2020</f>
        <v>#DIV/0!</v>
      </c>
      <c r="G30" s="174" t="e">
        <f t="shared" si="4"/>
        <v>#DIV/0!</v>
      </c>
      <c r="H30" s="265" t="e">
        <f t="shared" si="4"/>
        <v>#DIV/0!</v>
      </c>
      <c r="I30" s="175" t="e">
        <f>$F30*FACTOR_DOORVOER</f>
        <v>#DIV/0!</v>
      </c>
      <c r="J30" s="358" t="e">
        <f>TAR_DATA_NIETLS_2021*CPI_JAARMIN1/CPI_2020</f>
        <v>#DIV/0!</v>
      </c>
      <c r="K30" s="355" t="e">
        <f>$J30</f>
        <v>#DIV/0!</v>
      </c>
      <c r="L30" s="264" t="e">
        <f>TAR_DATA_NIETLS_2021*CPI_JAARMIN1/CPI_2020</f>
        <v>#DIV/0!</v>
      </c>
      <c r="M30" s="174" t="e">
        <f t="shared" ref="M30:M32" si="5">$L30</f>
        <v>#DIV/0!</v>
      </c>
      <c r="N30" s="265" t="e">
        <f>FACTOR_DOORVOER*$M30</f>
        <v>#DIV/0!</v>
      </c>
      <c r="O30" s="574"/>
      <c r="P30" s="574"/>
      <c r="Q30" s="352"/>
      <c r="R30" s="575"/>
      <c r="S30" s="353"/>
      <c r="T30" s="353"/>
      <c r="U30" s="353"/>
      <c r="V30" s="353"/>
      <c r="W30" s="576"/>
    </row>
    <row r="31" spans="1:23">
      <c r="A31" s="132" t="s">
        <v>84</v>
      </c>
      <c r="B31" s="150" t="s">
        <v>273</v>
      </c>
      <c r="C31" s="356"/>
      <c r="D31" s="354"/>
      <c r="E31" s="352"/>
      <c r="F31" s="576"/>
      <c r="G31" s="354"/>
      <c r="H31" s="351"/>
      <c r="I31" s="352"/>
      <c r="J31" s="576"/>
      <c r="K31" s="356"/>
      <c r="L31" s="264" t="e">
        <f>TAR_DATA_LSMR1_2021*CPI_JAARMIN1/CPI_2020</f>
        <v>#DIV/0!</v>
      </c>
      <c r="M31" s="174" t="e">
        <f t="shared" si="5"/>
        <v>#DIV/0!</v>
      </c>
      <c r="N31" s="351"/>
      <c r="O31" s="574"/>
      <c r="P31" s="574"/>
      <c r="Q31" s="352"/>
      <c r="R31" s="575"/>
      <c r="S31" s="353"/>
      <c r="T31" s="353"/>
      <c r="U31" s="353"/>
      <c r="V31" s="353"/>
      <c r="W31" s="576"/>
    </row>
    <row r="32" spans="1:23">
      <c r="A32" s="132" t="s">
        <v>84</v>
      </c>
      <c r="B32" s="150" t="s">
        <v>274</v>
      </c>
      <c r="C32" s="356"/>
      <c r="D32" s="354"/>
      <c r="E32" s="352"/>
      <c r="F32" s="576"/>
      <c r="G32" s="354"/>
      <c r="H32" s="351"/>
      <c r="I32" s="352"/>
      <c r="J32" s="576"/>
      <c r="K32" s="356"/>
      <c r="L32" s="264" t="e">
        <f>TAR_DATA_LSMR3_2021*CPI_JAARMIN1/CPI_2020</f>
        <v>#DIV/0!</v>
      </c>
      <c r="M32" s="174" t="e">
        <f t="shared" si="5"/>
        <v>#DIV/0!</v>
      </c>
      <c r="N32" s="351"/>
      <c r="O32" s="574"/>
      <c r="P32" s="574"/>
      <c r="Q32" s="352"/>
      <c r="R32" s="575"/>
      <c r="S32" s="353"/>
      <c r="T32" s="353"/>
      <c r="U32" s="353"/>
      <c r="V32" s="353"/>
      <c r="W32" s="576"/>
    </row>
    <row r="33" spans="1:23">
      <c r="A33" s="132" t="s">
        <v>84</v>
      </c>
      <c r="B33" s="150" t="s">
        <v>129</v>
      </c>
      <c r="C33" s="356"/>
      <c r="D33" s="354"/>
      <c r="E33" s="352"/>
      <c r="F33" s="576"/>
      <c r="G33" s="354"/>
      <c r="H33" s="351"/>
      <c r="I33" s="352"/>
      <c r="J33" s="576"/>
      <c r="K33" s="356"/>
      <c r="L33" s="264" t="e">
        <f>TAR_DATA_LSMR1_2021*CPI_JAARMIN1/CPI_2020</f>
        <v>#DIV/0!</v>
      </c>
      <c r="M33" s="354"/>
      <c r="N33" s="266"/>
      <c r="O33" s="265" t="e">
        <f>$L33</f>
        <v>#DIV/0!</v>
      </c>
      <c r="P33" s="343" t="e">
        <f>FACTOR_DOORVOER*$O33</f>
        <v>#DIV/0!</v>
      </c>
      <c r="Q33" s="352"/>
      <c r="R33" s="575"/>
      <c r="S33" s="353"/>
      <c r="T33" s="353"/>
      <c r="U33" s="353"/>
      <c r="V33" s="353"/>
      <c r="W33" s="576"/>
    </row>
    <row r="34" spans="1:23">
      <c r="A34" s="132" t="s">
        <v>84</v>
      </c>
      <c r="B34" s="150" t="s">
        <v>342</v>
      </c>
      <c r="C34" s="356"/>
      <c r="D34" s="354"/>
      <c r="E34" s="352"/>
      <c r="F34" s="576"/>
      <c r="G34" s="354"/>
      <c r="H34" s="351"/>
      <c r="I34" s="352"/>
      <c r="J34" s="576"/>
      <c r="K34" s="356"/>
      <c r="L34" s="353"/>
      <c r="M34" s="354"/>
      <c r="N34" s="266"/>
      <c r="O34" s="351"/>
      <c r="P34" s="351"/>
      <c r="Q34" s="352"/>
      <c r="R34" s="357" t="e">
        <f>TAR_DATA_PROD_2021*CPI_JAARMIN1/CPI_2020</f>
        <v>#DIV/0!</v>
      </c>
      <c r="S34" s="264" t="e">
        <f>$R34</f>
        <v>#DIV/0!</v>
      </c>
      <c r="T34" s="264" t="e">
        <f t="shared" ref="T34:W34" si="6">$R34</f>
        <v>#DIV/0!</v>
      </c>
      <c r="U34" s="264" t="e">
        <f t="shared" si="6"/>
        <v>#DIV/0!</v>
      </c>
      <c r="V34" s="264" t="e">
        <f t="shared" si="6"/>
        <v>#DIV/0!</v>
      </c>
      <c r="W34" s="358" t="e">
        <f t="shared" si="6"/>
        <v>#DIV/0!</v>
      </c>
    </row>
    <row r="35" spans="1:23" ht="18">
      <c r="A35" s="132" t="s">
        <v>85</v>
      </c>
      <c r="B35" s="150" t="s">
        <v>217</v>
      </c>
      <c r="C35" s="312" t="e">
        <f>$C$11/(INDEX(Rekenvolumes[Afnameklanten op TRHS (∑)],12)+INDEX(Rekenvolumes[Afnameklanten op TRHS (∑)],13)+(1-KORTING_XN)*INDEX(Rekenvolumes[Afnameklanten op TRHS (∑)],14))</f>
        <v>#VALUE!</v>
      </c>
      <c r="D35" s="313" t="e">
        <f>$C35</f>
        <v>#VALUE!</v>
      </c>
      <c r="E35" s="314" t="e">
        <f>$C35</f>
        <v>#VALUE!</v>
      </c>
      <c r="F35" s="315" t="e">
        <f>$D$11/(INDEX(Rekenvolumes[Afnameklanten op MS (∑)],12)+INDEX(Rekenvolumes[Afnameklanten op MS (∑)],13)+(1-KORTING_XN)*INDEX(Rekenvolumes[Afnameklanten op MS (∑)],14)-(1-FACTOR_DOORVOER)*INDEX(Rekenvolumes[Doorvoer op 26-1kV],12)-(1-FACTOR_DOORVOER)*INDEX(Rekenvolumes[Doorvoer op 26-1kV],13)-(1-KORTING_XN)*(1-FACTOR_DOORVOER)*INDEX(Rekenvolumes[Doorvoer op 26-1kV],14))</f>
        <v>#VALUE!</v>
      </c>
      <c r="G35" s="313" t="e">
        <f>$F35</f>
        <v>#VALUE!</v>
      </c>
      <c r="H35" s="316" t="e">
        <f>$F35</f>
        <v>#VALUE!</v>
      </c>
      <c r="I35" s="314" t="e">
        <f>$F35*FACTOR_DOORVOER</f>
        <v>#VALUE!</v>
      </c>
      <c r="J35" s="315" t="e">
        <f>$E$11/(INDEX(Rekenvolumes[Afnameklanten op TRLS (∑)],12)+INDEX(Rekenvolumes[Afnameklanten op TRLS (∑)],13)+(1-KORTING_XN)*INDEX(Rekenvolumes[Afnameklanten op TRLS (∑)],14))</f>
        <v>#VALUE!</v>
      </c>
      <c r="K35" s="312" t="e">
        <f t="shared" ref="K35:K40" si="7">$J35</f>
        <v>#VALUE!</v>
      </c>
      <c r="L35" s="326" t="e">
        <f>$F$11/(INDEX(Rekenvolumes[Afnameklanten op LS (∑)],12)+INDEX(Rekenvolumes[Afnameklanten op LS (∑)],13)+(1-KORTING_XN)*INDEX(Rekenvolumes[Afnameklanten op LS (∑)],14)-(1-FACTOR_DOORVOER)*INDEX(Rekenvolumes[Doorvoer op LS met piekmeting],12)-(1-FACTOR_DOORVOER)*INDEX(Rekenvolumes[Doorvoer op LS zonder piekmeting],12)-(1-FACTOR_DOORVOER)*INDEX(Rekenvolumes[Doorvoer op LS met piekmeting],13)-(1-FACTOR_DOORVOER)*INDEX(Rekenvolumes[Doorvoer op LS zonder piekmeting],13)-(1-KORTING_XN)*(1-FACTOR_DOORVOER)*INDEX(Rekenvolumes[Doorvoer op LS met piekmeting],14)-(1-KORTING_XN)*(1-FACTOR_DOORVOER)*INDEX(Rekenvolumes[Doorvoer op LS zonder piekmeting],14))</f>
        <v>#VALUE!</v>
      </c>
      <c r="M35" s="313" t="e">
        <f>$L35</f>
        <v>#VALUE!</v>
      </c>
      <c r="N35" s="345" t="e">
        <f>FACTOR_DOORVOER*$L35</f>
        <v>#VALUE!</v>
      </c>
      <c r="O35" s="316" t="e">
        <f>$L35</f>
        <v>#VALUE!</v>
      </c>
      <c r="P35" s="345" t="e">
        <f>FACTOR_DOORVOER*$L35</f>
        <v>#VALUE!</v>
      </c>
      <c r="Q35" s="318"/>
      <c r="R35" s="340" t="s">
        <v>122</v>
      </c>
      <c r="S35" s="321" t="s">
        <v>122</v>
      </c>
      <c r="T35" s="321"/>
      <c r="U35" s="321" t="s">
        <v>122</v>
      </c>
      <c r="V35" s="321" t="s">
        <v>122</v>
      </c>
      <c r="W35" s="322" t="s">
        <v>122</v>
      </c>
    </row>
    <row r="36" spans="1:23" ht="18">
      <c r="A36" s="132" t="s">
        <v>85</v>
      </c>
      <c r="B36" s="150" t="s">
        <v>216</v>
      </c>
      <c r="C36" s="323"/>
      <c r="D36" s="320"/>
      <c r="E36" s="318"/>
      <c r="F36" s="315" t="e">
        <f>(1-KORTING_XN)*$F$35</f>
        <v>#VALUE!</v>
      </c>
      <c r="G36" s="320"/>
      <c r="H36" s="316" t="e">
        <f>$F36</f>
        <v>#VALUE!</v>
      </c>
      <c r="I36" s="318"/>
      <c r="J36" s="315" t="e">
        <f>(1-KORTING_XN)*$J$35</f>
        <v>#VALUE!</v>
      </c>
      <c r="K36" s="312" t="e">
        <f t="shared" si="7"/>
        <v>#VALUE!</v>
      </c>
      <c r="L36" s="326" t="e">
        <f>(1-KORTING_XN)*$L$35</f>
        <v>#VALUE!</v>
      </c>
      <c r="M36" s="313" t="e">
        <f>$L36</f>
        <v>#VALUE!</v>
      </c>
      <c r="N36" s="344"/>
      <c r="O36" s="316" t="e">
        <f>$L36</f>
        <v>#VALUE!</v>
      </c>
      <c r="P36" s="324"/>
      <c r="Q36" s="318"/>
      <c r="R36" s="340"/>
      <c r="S36" s="321"/>
      <c r="T36" s="321"/>
      <c r="U36" s="321"/>
      <c r="V36" s="321"/>
      <c r="W36" s="322"/>
    </row>
    <row r="37" spans="1:23" ht="18">
      <c r="A37" s="132" t="s">
        <v>9</v>
      </c>
      <c r="B37" s="150" t="s">
        <v>115</v>
      </c>
      <c r="C37" s="312" t="e">
        <f>$C$12/(INDEX(Rekenvolumes[Afnameklanten op TRHS (∑)],12)+INDEX(Rekenvolumes[Afnameklanten op TRHS (∑)],13)+INDEX(Rekenvolumes[Afnameklanten op TRHS (∑)],14))</f>
        <v>#VALUE!</v>
      </c>
      <c r="D37" s="313" t="e">
        <f t="shared" ref="D37:E40" si="8">$C37</f>
        <v>#VALUE!</v>
      </c>
      <c r="E37" s="314" t="e">
        <f t="shared" si="8"/>
        <v>#VALUE!</v>
      </c>
      <c r="F37" s="315" t="e">
        <f>$D$12/(INDEX(Rekenvolumes[Afnameklanten op MS (∑)],12)+INDEX(Rekenvolumes[Afnameklanten op MS (∑)],13)+INDEX(Rekenvolumes[Afnameklanten op MS (∑)],14)-(1-FACTOR_DOORVOER)*INDEX(Rekenvolumes[Doorvoer op 26-1kV],12)-(1-FACTOR_DOORVOER)*INDEX(Rekenvolumes[Doorvoer op 26-1kV],13)-(1-FACTOR_DOORVOER)*INDEX(Rekenvolumes[Doorvoer op 26-1kV],14))</f>
        <v>#VALUE!</v>
      </c>
      <c r="G37" s="313" t="e">
        <f>$F37</f>
        <v>#VALUE!</v>
      </c>
      <c r="H37" s="316" t="e">
        <f t="shared" ref="H37:H40" si="9">$F37</f>
        <v>#VALUE!</v>
      </c>
      <c r="I37" s="314" t="e">
        <f>$F37*FACTOR_DOORVOER</f>
        <v>#VALUE!</v>
      </c>
      <c r="J37" s="315" t="e">
        <f>$E$12/(INDEX(Rekenvolumes[Afnameklanten op TRLS (∑)],12)+INDEX(Rekenvolumes[Afnameklanten op TRLS (∑)],13)+INDEX(Rekenvolumes[Afnameklanten op TRLS (∑)],14))</f>
        <v>#VALUE!</v>
      </c>
      <c r="K37" s="312" t="e">
        <f t="shared" si="7"/>
        <v>#VALUE!</v>
      </c>
      <c r="L37" s="326" t="e">
        <f>$F$12/(INDEX(Rekenvolumes[Afnameklanten op LS (∑)],12)+INDEX(Rekenvolumes[Afnameklanten op LS (∑)],13)+INDEX(Rekenvolumes[Afnameklanten op LS (∑)],14)-(1-FACTOR_DOORVOER)*INDEX(Rekenvolumes[Doorvoer op LS met piekmeting],12)-(1-FACTOR_DOORVOER)*INDEX(Rekenvolumes[Doorvoer op LS zonder piekmeting],12)-(1-FACTOR_DOORVOER)*INDEX(Rekenvolumes[Doorvoer op LS met piekmeting],13)-(1-FACTOR_DOORVOER)*INDEX(Rekenvolumes[Doorvoer op LS zonder piekmeting],13)-(1-FACTOR_DOORVOER)*INDEX(Rekenvolumes[Doorvoer op LS met piekmeting],14)-(1-FACTOR_DOORVOER)*INDEX(Rekenvolumes[Doorvoer op LS zonder piekmeting],14))</f>
        <v>#VALUE!</v>
      </c>
      <c r="M37" s="313" t="e">
        <f>$L37</f>
        <v>#VALUE!</v>
      </c>
      <c r="N37" s="345" t="e">
        <f>FACTOR_DOORVOER*$L37</f>
        <v>#VALUE!</v>
      </c>
      <c r="O37" s="316" t="e">
        <f t="shared" ref="O37" si="10">$L37</f>
        <v>#VALUE!</v>
      </c>
      <c r="P37" s="345" t="e">
        <f>FACTOR_DOORVOER*$L37</f>
        <v>#VALUE!</v>
      </c>
      <c r="Q37" s="318"/>
      <c r="R37" s="340" t="s">
        <v>122</v>
      </c>
      <c r="S37" s="321" t="s">
        <v>122</v>
      </c>
      <c r="T37" s="321"/>
      <c r="U37" s="321" t="s">
        <v>122</v>
      </c>
      <c r="V37" s="321" t="s">
        <v>122</v>
      </c>
      <c r="W37" s="322" t="s">
        <v>122</v>
      </c>
    </row>
    <row r="38" spans="1:23">
      <c r="A38" s="133" t="s">
        <v>86</v>
      </c>
      <c r="B38" s="151"/>
      <c r="C38" s="312"/>
      <c r="D38" s="328"/>
      <c r="E38" s="329"/>
      <c r="F38" s="315"/>
      <c r="G38" s="328"/>
      <c r="H38" s="331"/>
      <c r="I38" s="329"/>
      <c r="J38" s="330"/>
      <c r="K38" s="327"/>
      <c r="L38" s="573"/>
      <c r="M38" s="313"/>
      <c r="N38" s="345"/>
      <c r="O38" s="316"/>
      <c r="P38" s="343"/>
      <c r="Q38" s="338"/>
      <c r="R38" s="342"/>
      <c r="S38" s="334"/>
      <c r="T38" s="334"/>
      <c r="U38" s="334"/>
      <c r="V38" s="334"/>
      <c r="W38" s="335"/>
    </row>
    <row r="39" spans="1:23" ht="18">
      <c r="A39" s="578" t="s">
        <v>560</v>
      </c>
      <c r="B39" s="151" t="s">
        <v>272</v>
      </c>
      <c r="C39" s="327" t="e">
        <f>$C$14/(INDEX(Rekenvolumes[Afnameklanten op TRHS (∑)],12)+INDEX(Rekenvolumes[Afnameklanten op TRHS (∑)],13)+INDEX(Rekenvolumes[Afnameklanten op TRHS (∑)],14))</f>
        <v>#DIV/0!</v>
      </c>
      <c r="D39" s="328" t="e">
        <f t="shared" si="8"/>
        <v>#DIV/0!</v>
      </c>
      <c r="E39" s="329" t="e">
        <f t="shared" si="8"/>
        <v>#DIV/0!</v>
      </c>
      <c r="F39" s="330" t="e">
        <f>$D$14/(INDEX(Rekenvolumes[Afnameklanten op MS (∑)],12)+INDEX(Rekenvolumes[Afnameklanten op MS (∑)],13)+INDEX(Rekenvolumes[Afnameklanten op MS (∑)],14)-(1-FACTOR_DOORVOER)*INDEX(Rekenvolumes[Doorvoer op 26-1kV],12)-(1-FACTOR_DOORVOER)*INDEX(Rekenvolumes[Doorvoer op 26-1kV],13)-(1-FACTOR_DOORVOER)*INDEX(Rekenvolumes[Doorvoer op 26-1kV],14))</f>
        <v>#DIV/0!</v>
      </c>
      <c r="G39" s="328" t="e">
        <f>$F39</f>
        <v>#DIV/0!</v>
      </c>
      <c r="H39" s="331" t="e">
        <f t="shared" si="9"/>
        <v>#DIV/0!</v>
      </c>
      <c r="I39" s="329" t="e">
        <f>$F39*FACTOR_DOORVOER</f>
        <v>#DIV/0!</v>
      </c>
      <c r="J39" s="330" t="e">
        <f>$E$14/(INDEX(Rekenvolumes[Afnameklanten op TRLS (∑)],12)+INDEX(Rekenvolumes[Afnameklanten op TRLS (∑)],13)+INDEX(Rekenvolumes[Afnameklanten op TRLS (∑)],14))</f>
        <v>#DIV/0!</v>
      </c>
      <c r="K39" s="327" t="e">
        <f t="shared" si="7"/>
        <v>#DIV/0!</v>
      </c>
      <c r="L39" s="326" t="e">
        <f>$F$14/(INDEX(Rekenvolumes[Afnameklanten op LS (∑)],12)+INDEX(Rekenvolumes[Afnameklanten op LS (∑)],13)+INDEX(Rekenvolumes[Afnameklanten op LS (∑)],14)-(1-FACTOR_DOORVOER)*INDEX(Rekenvolumes[Doorvoer op LS met piekmeting],12)-(1-FACTOR_DOORVOER)*INDEX(Rekenvolumes[Doorvoer op LS zonder piekmeting],12)-(1-FACTOR_DOORVOER)*INDEX(Rekenvolumes[Doorvoer op LS met piekmeting],13)-(1-FACTOR_DOORVOER)*INDEX(Rekenvolumes[Doorvoer op LS zonder piekmeting],13)-(1-FACTOR_DOORVOER)*INDEX(Rekenvolumes[Doorvoer op LS met piekmeting],14)-(1-FACTOR_DOORVOER)*INDEX(Rekenvolumes[Doorvoer op LS zonder piekmeting],14))</f>
        <v>#DIV/0!</v>
      </c>
      <c r="M39" s="328" t="e">
        <f>$L39</f>
        <v>#DIV/0!</v>
      </c>
      <c r="N39" s="345" t="e">
        <f>FACTOR_DOORVOER*$L39</f>
        <v>#DIV/0!</v>
      </c>
      <c r="O39" s="333" t="e">
        <f t="shared" ref="M39:O40" si="11">$L39</f>
        <v>#DIV/0!</v>
      </c>
      <c r="P39" s="345" t="e">
        <f>FACTOR_DOORVOER*$L39</f>
        <v>#DIV/0!</v>
      </c>
      <c r="Q39" s="338"/>
      <c r="R39" s="342"/>
      <c r="S39" s="334"/>
      <c r="T39" s="334"/>
      <c r="U39" s="334"/>
      <c r="V39" s="334"/>
      <c r="W39" s="335"/>
    </row>
    <row r="40" spans="1:23" ht="18">
      <c r="A40" s="578" t="s">
        <v>322</v>
      </c>
      <c r="B40" s="151" t="s">
        <v>272</v>
      </c>
      <c r="C40" s="327" t="e">
        <f>$C$15/(INDEX(Rekenvolumes[Afnameklanten op TRHS (∑)],12)+INDEX(Rekenvolumes[Afnameklanten op TRHS (∑)],13)+INDEX(Rekenvolumes[Afnameklanten op TRHS (∑)],14))</f>
        <v>#DIV/0!</v>
      </c>
      <c r="D40" s="328" t="e">
        <f t="shared" si="8"/>
        <v>#DIV/0!</v>
      </c>
      <c r="E40" s="329" t="e">
        <f t="shared" si="8"/>
        <v>#DIV/0!</v>
      </c>
      <c r="F40" s="330" t="e">
        <f>$D$15/(INDEX(Rekenvolumes[Afnameklanten op MS (∑)],12)+INDEX(Rekenvolumes[Afnameklanten op MS (∑)],13)+INDEX(Rekenvolumes[Afnameklanten op MS (∑)],14)-(1-FACTOR_DOORVOER)*INDEX(Rekenvolumes[Doorvoer op 26-1kV],12)-(1-FACTOR_DOORVOER)*INDEX(Rekenvolumes[Doorvoer op 26-1kV],13)-(1-FACTOR_DOORVOER)*INDEX(Rekenvolumes[Doorvoer op 26-1kV],14))</f>
        <v>#DIV/0!</v>
      </c>
      <c r="G40" s="328" t="e">
        <f>$F40</f>
        <v>#DIV/0!</v>
      </c>
      <c r="H40" s="331" t="e">
        <f t="shared" si="9"/>
        <v>#DIV/0!</v>
      </c>
      <c r="I40" s="329" t="e">
        <f>$F40*FACTOR_DOORVOER</f>
        <v>#DIV/0!</v>
      </c>
      <c r="J40" s="330" t="e">
        <f>$E$15/(INDEX(Rekenvolumes[Afnameklanten op TRLS (∑)],12)+INDEX(Rekenvolumes[Afnameklanten op TRLS (∑)],13)+INDEX(Rekenvolumes[Afnameklanten op TRLS (∑)],14))</f>
        <v>#DIV/0!</v>
      </c>
      <c r="K40" s="327" t="e">
        <f t="shared" si="7"/>
        <v>#DIV/0!</v>
      </c>
      <c r="L40" s="326" t="e">
        <f>$F$15/(INDEX(Rekenvolumes[Afnameklanten op LS (∑)],12)+INDEX(Rekenvolumes[Afnameklanten op LS (∑)],13)+INDEX(Rekenvolumes[Afnameklanten op LS (∑)],14)-(1-FACTOR_DOORVOER)*INDEX(Rekenvolumes[Doorvoer op LS met piekmeting],12)-(1-FACTOR_DOORVOER)*INDEX(Rekenvolumes[Doorvoer op LS zonder piekmeting],12)-(1-FACTOR_DOORVOER)*INDEX(Rekenvolumes[Doorvoer op LS met piekmeting],13)-(1-FACTOR_DOORVOER)*INDEX(Rekenvolumes[Doorvoer op LS zonder piekmeting],13)-(1-FACTOR_DOORVOER)*INDEX(Rekenvolumes[Doorvoer op LS met piekmeting],14)-(1-FACTOR_DOORVOER)*INDEX(Rekenvolumes[Doorvoer op LS zonder piekmeting],14))</f>
        <v>#DIV/0!</v>
      </c>
      <c r="M40" s="328" t="e">
        <f t="shared" si="11"/>
        <v>#DIV/0!</v>
      </c>
      <c r="N40" s="345" t="e">
        <f>FACTOR_DOORVOER*$L40</f>
        <v>#DIV/0!</v>
      </c>
      <c r="O40" s="333" t="e">
        <f t="shared" si="11"/>
        <v>#DIV/0!</v>
      </c>
      <c r="P40" s="345" t="e">
        <f>FACTOR_DOORVOER*$L40</f>
        <v>#DIV/0!</v>
      </c>
      <c r="Q40" s="338"/>
      <c r="R40" s="342"/>
      <c r="S40" s="334"/>
      <c r="T40" s="334"/>
      <c r="U40" s="334"/>
      <c r="V40" s="334"/>
      <c r="W40" s="335"/>
    </row>
    <row r="41" spans="1:23" ht="18.75" thickBot="1">
      <c r="A41" s="133" t="s">
        <v>526</v>
      </c>
      <c r="B41" s="347" t="s">
        <v>153</v>
      </c>
      <c r="C41" s="336"/>
      <c r="D41" s="337"/>
      <c r="E41" s="338"/>
      <c r="F41" s="335"/>
      <c r="G41" s="337"/>
      <c r="H41" s="332"/>
      <c r="I41" s="338"/>
      <c r="J41" s="335"/>
      <c r="K41" s="336"/>
      <c r="L41" s="334" t="s">
        <v>122</v>
      </c>
      <c r="M41" s="337" t="s">
        <v>122</v>
      </c>
      <c r="N41" s="332" t="s">
        <v>122</v>
      </c>
      <c r="O41" s="339" t="s">
        <v>122</v>
      </c>
      <c r="P41" s="339" t="s">
        <v>122</v>
      </c>
      <c r="Q41" s="329" t="e">
        <f>$Q$58</f>
        <v>#DIV/0!</v>
      </c>
      <c r="R41" s="342" t="s">
        <v>122</v>
      </c>
      <c r="S41" s="334" t="s">
        <v>122</v>
      </c>
      <c r="T41" s="334" t="str">
        <f t="shared" si="2"/>
        <v xml:space="preserve"> </v>
      </c>
      <c r="U41" s="334" t="s">
        <v>122</v>
      </c>
      <c r="V41" s="334" t="s">
        <v>122</v>
      </c>
      <c r="W41" s="335" t="s">
        <v>122</v>
      </c>
    </row>
    <row r="45" spans="1:23" ht="15.75" customHeight="1" thickBot="1">
      <c r="N45" s="158"/>
      <c r="O45" s="133"/>
      <c r="P45" s="133"/>
      <c r="Q45" s="133"/>
      <c r="R45" s="159"/>
    </row>
    <row r="46" spans="1:23" ht="15.75" thickBot="1">
      <c r="N46" s="1566"/>
      <c r="O46" s="161"/>
      <c r="P46" s="586" t="e">
        <f>SUM($O$26,$O$35,$O$37:$O$40)</f>
        <v>#DIV/0!</v>
      </c>
      <c r="Q46" s="161" t="s">
        <v>198</v>
      </c>
      <c r="R46" s="162"/>
    </row>
    <row r="47" spans="1:23" ht="15.75" thickBot="1">
      <c r="N47" s="1566"/>
      <c r="O47" s="161"/>
      <c r="P47" s="161"/>
      <c r="Q47" s="161"/>
      <c r="R47" s="162"/>
    </row>
    <row r="48" spans="1:23" ht="15.75" thickBot="1">
      <c r="N48" s="1566"/>
      <c r="O48" s="161"/>
      <c r="P48" s="163" t="s">
        <v>199</v>
      </c>
      <c r="Q48" s="157">
        <f>OMVORMERVERMOGEN</f>
        <v>0</v>
      </c>
      <c r="R48" s="162"/>
    </row>
    <row r="49" spans="14:18" ht="15.75" thickBot="1">
      <c r="N49" s="1566"/>
      <c r="O49" s="161"/>
      <c r="P49" s="163"/>
      <c r="Q49" s="164"/>
      <c r="R49" s="162"/>
    </row>
    <row r="50" spans="14:18" ht="15.75" thickBot="1">
      <c r="N50" s="1566"/>
      <c r="O50" s="161"/>
      <c r="P50" s="163" t="s">
        <v>200</v>
      </c>
      <c r="Q50" s="157">
        <f>$Q$48/DIM_OMV</f>
        <v>0</v>
      </c>
      <c r="R50" s="162"/>
    </row>
    <row r="51" spans="14:18" ht="15.75" thickBot="1">
      <c r="N51" s="1566"/>
      <c r="O51" s="161"/>
      <c r="P51" s="163"/>
      <c r="Q51" s="164"/>
      <c r="R51" s="162"/>
    </row>
    <row r="52" spans="14:18" ht="15.75" thickBot="1">
      <c r="N52" s="1566"/>
      <c r="O52" s="161"/>
      <c r="P52" s="163" t="s">
        <v>201</v>
      </c>
      <c r="Q52" s="157">
        <f>$Q$50*VOLLASTUREN</f>
        <v>0</v>
      </c>
      <c r="R52" s="162"/>
    </row>
    <row r="53" spans="14:18" ht="15.75" thickBot="1">
      <c r="N53" s="1566"/>
      <c r="O53" s="161"/>
      <c r="P53" s="163"/>
      <c r="Q53" s="164"/>
      <c r="R53" s="162"/>
    </row>
    <row r="54" spans="14:18" ht="15.75" thickBot="1">
      <c r="N54" s="1566"/>
      <c r="O54" s="161"/>
      <c r="P54" s="163" t="s">
        <v>202</v>
      </c>
      <c r="Q54" s="157">
        <f>$Q$52*(1-ZELFCONSUMPTIE)</f>
        <v>0</v>
      </c>
      <c r="R54" s="162"/>
    </row>
    <row r="55" spans="14:18" ht="15.75" thickBot="1">
      <c r="N55" s="1566"/>
      <c r="O55" s="161"/>
      <c r="P55" s="161"/>
      <c r="Q55" s="161"/>
      <c r="R55" s="162"/>
    </row>
    <row r="56" spans="14:18" ht="15.75" thickBot="1">
      <c r="N56" s="1566"/>
      <c r="O56" s="161"/>
      <c r="P56" s="163" t="s">
        <v>203</v>
      </c>
      <c r="Q56" s="1261" t="e">
        <f>$P$46*$Q$54</f>
        <v>#DIV/0!</v>
      </c>
      <c r="R56" s="162"/>
    </row>
    <row r="57" spans="14:18" ht="15" customHeight="1" thickBot="1">
      <c r="N57" s="1566"/>
      <c r="O57" s="161"/>
      <c r="P57" s="161"/>
      <c r="Q57" s="161"/>
      <c r="R57" s="162"/>
    </row>
    <row r="58" spans="14:18" ht="15.75" thickBot="1">
      <c r="N58" s="1566"/>
      <c r="O58" s="161"/>
      <c r="P58" s="163" t="s">
        <v>204</v>
      </c>
      <c r="Q58" s="571" t="e">
        <f>$Q$56/$Q$48</f>
        <v>#DIV/0!</v>
      </c>
      <c r="R58" s="162"/>
    </row>
    <row r="59" spans="14:18" ht="15" customHeight="1">
      <c r="N59" s="165"/>
      <c r="O59" s="166"/>
      <c r="P59" s="166"/>
      <c r="Q59" s="166"/>
      <c r="R59" s="167"/>
    </row>
  </sheetData>
  <sheetProtection algorithmName="SHA-512" hashValue="rNENC+SXncQjjlbXcJl4SnAdLyP+485OGXEYlbcJFwGsgjKM3YgSYNx8cuE4poK0Rgj6ppgAh+pr8F+UjMETUg==" saltValue="LDqVPK95H7va2ztVN3ctQQ==" spinCount="100000" sheet="1" objects="1" scenarios="1"/>
  <mergeCells count="3">
    <mergeCell ref="E4:F4"/>
    <mergeCell ref="N46:N58"/>
    <mergeCell ref="A1:J1"/>
  </mergeCells>
  <phoneticPr fontId="50" type="noConversion"/>
  <pageMargins left="0.7" right="0.7" top="0.75" bottom="0.75" header="0.3" footer="0.3"/>
  <pageSetup paperSize="9" orientation="portrait" r:id="rId1"/>
  <ignoredErrors>
    <ignoredError sqref="U41:W41 U35:W35 U37:W37 U21:W26 U28:W29 S28:S29 S21:S26 S37 S35 S41" calculatedColumn="1"/>
  </ignoredErrors>
  <tableParts count="2">
    <tablePart r:id="rId2"/>
    <tablePart r:id="rId3"/>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ublished="0" codeName="Blad33"/>
  <dimension ref="A1:W42"/>
  <sheetViews>
    <sheetView zoomScaleNormal="100" workbookViewId="0">
      <selection activeCell="E4" sqref="E4:F4"/>
    </sheetView>
  </sheetViews>
  <sheetFormatPr defaultColWidth="20.7109375" defaultRowHeight="15"/>
  <cols>
    <col min="1" max="1" width="40.7109375" style="1" customWidth="1"/>
    <col min="2" max="9" width="20.7109375" style="1"/>
    <col min="10" max="15" width="20.7109375" style="1" customWidth="1"/>
    <col min="16" max="16384" width="20.7109375" style="1"/>
  </cols>
  <sheetData>
    <row r="1" spans="1:23" ht="18.75" thickBot="1">
      <c r="A1" s="1425" t="s">
        <v>220</v>
      </c>
      <c r="B1" s="1426"/>
      <c r="C1" s="1426"/>
      <c r="D1" s="1426"/>
      <c r="E1" s="1426"/>
      <c r="F1" s="1426"/>
      <c r="G1" s="1426"/>
      <c r="H1" s="1426"/>
      <c r="I1" s="1426"/>
      <c r="J1" s="1494"/>
    </row>
    <row r="2" spans="1:23" ht="18">
      <c r="A2" s="52"/>
      <c r="B2" s="52"/>
      <c r="C2" s="52"/>
      <c r="D2" s="52"/>
      <c r="E2" s="52"/>
      <c r="F2" s="63"/>
      <c r="G2" s="63"/>
    </row>
    <row r="3" spans="1:23" ht="15.75" thickBot="1">
      <c r="A3" s="54"/>
      <c r="B3" s="54"/>
      <c r="C3" s="54"/>
      <c r="D3" s="54"/>
      <c r="E3" s="55"/>
      <c r="F3" s="64"/>
      <c r="G3" s="64"/>
    </row>
    <row r="4" spans="1:23" ht="15.75" thickBot="1">
      <c r="A4" s="56"/>
      <c r="C4" s="57" t="s">
        <v>6</v>
      </c>
      <c r="D4" s="56"/>
      <c r="E4" s="1418" t="str">
        <f>DNB</f>
        <v>Naam distributienetbeheerder</v>
      </c>
      <c r="F4" s="1420"/>
      <c r="G4" s="66"/>
    </row>
    <row r="6" spans="1:23" ht="15.75" thickBot="1"/>
    <row r="7" spans="1:23" ht="45.75" thickBot="1">
      <c r="A7" s="255" t="s">
        <v>82</v>
      </c>
      <c r="B7" s="155" t="s">
        <v>109</v>
      </c>
      <c r="C7" s="75" t="s">
        <v>308</v>
      </c>
      <c r="D7" s="156" t="s">
        <v>102</v>
      </c>
      <c r="E7" s="145" t="s">
        <v>132</v>
      </c>
      <c r="F7" s="76" t="s">
        <v>309</v>
      </c>
      <c r="G7" s="156" t="s">
        <v>133</v>
      </c>
      <c r="H7" s="144" t="s">
        <v>269</v>
      </c>
      <c r="I7" s="145" t="s">
        <v>270</v>
      </c>
      <c r="J7" s="76" t="s">
        <v>277</v>
      </c>
      <c r="K7" s="572" t="s">
        <v>103</v>
      </c>
      <c r="L7" s="350" t="s">
        <v>310</v>
      </c>
      <c r="M7" s="156" t="s">
        <v>119</v>
      </c>
      <c r="N7" s="144" t="s">
        <v>547</v>
      </c>
      <c r="O7" s="271" t="s">
        <v>120</v>
      </c>
      <c r="P7" s="271" t="s">
        <v>548</v>
      </c>
      <c r="Q7" s="145" t="s">
        <v>121</v>
      </c>
      <c r="R7" s="272" t="s">
        <v>278</v>
      </c>
      <c r="S7" s="146" t="s">
        <v>209</v>
      </c>
      <c r="T7" s="146" t="s">
        <v>324</v>
      </c>
      <c r="U7" s="146" t="s">
        <v>271</v>
      </c>
      <c r="V7" s="146" t="s">
        <v>104</v>
      </c>
      <c r="W7" s="147" t="s">
        <v>105</v>
      </c>
    </row>
    <row r="8" spans="1:23" ht="18">
      <c r="A8" s="132" t="s">
        <v>83</v>
      </c>
      <c r="B8" s="149" t="s">
        <v>110</v>
      </c>
      <c r="C8" s="312" t="e">
        <f>PROCENT_VERHOGING_NA_MAX*INDEX(Tabel3B[Afnameklanten op TRHS (∑)],1)</f>
        <v>#DIV/0!</v>
      </c>
      <c r="D8" s="313" t="e">
        <f>PROCENT_VERHOGING_NA_MAX*INDEX(Tabel3B[Afnameklanten op TRHS],1)</f>
        <v>#DIV/0!</v>
      </c>
      <c r="E8" s="314" t="e">
        <f>PROCENT_VERHOGING_NA_MAX*INDEX(Tabel3B[Afnameklanten op &gt;26-36 kV met AV ≥ 5MVA],1)</f>
        <v>#DIV/0!</v>
      </c>
      <c r="F8" s="315" t="e">
        <f>PROCENT_VERHOGING_NA_MAX*INDEX(Tabel3B[Afnameklanten op MS (∑)],1)</f>
        <v>#VALUE!</v>
      </c>
      <c r="G8" s="313" t="e">
        <f>PROCENT_VERHOGING_NA_MAX*INDEX(Tabel3B[Afnameklanten op &gt;26-36 kV met AV &lt; 5MVA],1)</f>
        <v>#VALUE!</v>
      </c>
      <c r="H8" s="316" t="e">
        <f>PROCENT_VERHOGING_NA_MAX*INDEX(Tabel3B[Afnameklanten op 26-1kV],1)</f>
        <v>#VALUE!</v>
      </c>
      <c r="I8" s="314" t="e">
        <f>PROCENT_VERHOGING_NA_MAX*INDEX(Tabel3B[Doorvoer op 26-1kV],1)</f>
        <v>#VALUE!</v>
      </c>
      <c r="J8" s="315" t="e">
        <f>PROCENT_VERHOGING_NA_MAX*INDEX(Tabel3B[Afnameklanten op TRLS (∑)],1)</f>
        <v>#VALUE!</v>
      </c>
      <c r="K8" s="312" t="e">
        <f>PROCENT_VERHOGING_NA_MAX*INDEX(Tabel3B[Afnameklanten op TRLS],1)</f>
        <v>#VALUE!</v>
      </c>
      <c r="L8" s="321" t="s">
        <v>122</v>
      </c>
      <c r="M8" s="320" t="s">
        <v>122</v>
      </c>
      <c r="N8" s="317" t="s">
        <v>122</v>
      </c>
      <c r="O8" s="324" t="s">
        <v>122</v>
      </c>
      <c r="P8" s="324" t="s">
        <v>122</v>
      </c>
      <c r="Q8" s="318" t="s">
        <v>122</v>
      </c>
      <c r="R8" s="340" t="str">
        <f>INDEX(Tabel3B[Injectieklanten (∑)],1)</f>
        <v xml:space="preserve"> </v>
      </c>
      <c r="S8" s="321" t="str">
        <f>INDEX(Tabel3B[Injectieklanten op TRHS],1)</f>
        <v xml:space="preserve"> </v>
      </c>
      <c r="T8" s="321" t="str">
        <f>INDEX(Tabel3B[Injectieklanten  op &gt;26-36kV],1)</f>
        <v xml:space="preserve"> </v>
      </c>
      <c r="U8" s="321" t="str">
        <f>INDEX(Tabel3B[Injectieklanten op 26-1kV],1)</f>
        <v xml:space="preserve"> </v>
      </c>
      <c r="V8" s="321" t="str">
        <f>INDEX(Tabel3B[Injectieklanten op TRLS],1)</f>
        <v xml:space="preserve"> </v>
      </c>
      <c r="W8" s="322" t="str">
        <f>INDEX(Tabel3B[Injectieklanten op LS],1)</f>
        <v xml:space="preserve"> </v>
      </c>
    </row>
    <row r="9" spans="1:23" ht="18">
      <c r="A9" s="132" t="s">
        <v>83</v>
      </c>
      <c r="B9" s="150" t="s">
        <v>111</v>
      </c>
      <c r="C9" s="312" t="e">
        <f>PROCENT_VERHOGING_NA_MAX*INDEX(Tabel3B[Afnameklanten op TRHS (∑)],2)</f>
        <v>#DIV/0!</v>
      </c>
      <c r="D9" s="313" t="e">
        <f>PROCENT_VERHOGING_NA_MAX*INDEX(Tabel3B[Afnameklanten op TRHS],2)</f>
        <v>#DIV/0!</v>
      </c>
      <c r="E9" s="314" t="e">
        <f>PROCENT_VERHOGING_NA_MAX*INDEX(Tabel3B[Afnameklanten op &gt;26-36 kV met AV ≥ 5MVA],2)</f>
        <v>#DIV/0!</v>
      </c>
      <c r="F9" s="315" t="e">
        <f>PROCENT_VERHOGING_NA_MAX*INDEX(Tabel3B[Afnameklanten op MS (∑)],2)</f>
        <v>#VALUE!</v>
      </c>
      <c r="G9" s="313" t="e">
        <f>PROCENT_VERHOGING_NA_MAX*INDEX(Tabel3B[Afnameklanten op &gt;26-36 kV met AV &lt; 5MVA],2)</f>
        <v>#VALUE!</v>
      </c>
      <c r="H9" s="316" t="e">
        <f>PROCENT_VERHOGING_NA_MAX*INDEX(Tabel3B[Afnameklanten op 26-1kV],2)</f>
        <v>#VALUE!</v>
      </c>
      <c r="I9" s="314" t="e">
        <f>PROCENT_VERHOGING_NA_MAX*INDEX(Tabel3B[Doorvoer op 26-1kV],2)</f>
        <v>#VALUE!</v>
      </c>
      <c r="J9" s="315" t="e">
        <f>PROCENT_VERHOGING_NA_MAX*INDEX(Tabel3B[Afnameklanten op TRLS (∑)],2)</f>
        <v>#VALUE!</v>
      </c>
      <c r="K9" s="312" t="e">
        <f>PROCENT_VERHOGING_NA_MAX*INDEX(Tabel3B[Afnameklanten op TRLS],2)</f>
        <v>#VALUE!</v>
      </c>
      <c r="L9" s="321"/>
      <c r="M9" s="320"/>
      <c r="N9" s="317"/>
      <c r="O9" s="324"/>
      <c r="P9" s="324"/>
      <c r="Q9" s="318"/>
      <c r="R9" s="340" t="str">
        <f>INDEX(Tabel3B[Injectieklanten (∑)],2)</f>
        <v xml:space="preserve"> </v>
      </c>
      <c r="S9" s="321" t="str">
        <f>INDEX(Tabel3B[Injectieklanten op TRHS],2)</f>
        <v xml:space="preserve"> </v>
      </c>
      <c r="T9" s="321" t="str">
        <f>INDEX(Tabel3B[Injectieklanten  op &gt;26-36kV],2)</f>
        <v xml:space="preserve"> </v>
      </c>
      <c r="U9" s="321" t="str">
        <f>INDEX(Tabel3B[Injectieklanten op 26-1kV],2)</f>
        <v xml:space="preserve"> </v>
      </c>
      <c r="V9" s="321" t="str">
        <f>INDEX(Tabel3B[Injectieklanten op TRLS],2)</f>
        <v xml:space="preserve"> </v>
      </c>
      <c r="W9" s="322" t="str">
        <f>INDEX(Tabel3B[Injectieklanten op LS],2)</f>
        <v xml:space="preserve"> </v>
      </c>
    </row>
    <row r="10" spans="1:23" ht="18">
      <c r="A10" s="132" t="s">
        <v>83</v>
      </c>
      <c r="B10" s="150" t="s">
        <v>112</v>
      </c>
      <c r="C10" s="312" t="e">
        <f>PROCENT_VERHOGING_NA_MAX*INDEX(Tabel3B[Afnameklanten op TRHS (∑)],3)</f>
        <v>#DIV/0!</v>
      </c>
      <c r="D10" s="313" t="e">
        <f>PROCENT_VERHOGING_NA_MAX*INDEX(Tabel3B[Afnameklanten op TRHS],3)</f>
        <v>#DIV/0!</v>
      </c>
      <c r="E10" s="314" t="e">
        <f>PROCENT_VERHOGING_NA_MAX*INDEX(Tabel3B[Afnameklanten op &gt;26-36 kV met AV ≥ 5MVA],3)</f>
        <v>#DIV/0!</v>
      </c>
      <c r="F10" s="315" t="e">
        <f>PROCENT_VERHOGING_NA_MAX*INDEX(Tabel3B[Afnameklanten op MS (∑)],3)</f>
        <v>#VALUE!</v>
      </c>
      <c r="G10" s="313" t="e">
        <f>PROCENT_VERHOGING_NA_MAX*INDEX(Tabel3B[Afnameklanten op &gt;26-36 kV met AV &lt; 5MVA],3)</f>
        <v>#VALUE!</v>
      </c>
      <c r="H10" s="316" t="e">
        <f>PROCENT_VERHOGING_NA_MAX*INDEX(Tabel3B[Afnameklanten op 26-1kV],3)</f>
        <v>#VALUE!</v>
      </c>
      <c r="I10" s="314" t="e">
        <f>PROCENT_VERHOGING_NA_MAX*INDEX(Tabel3B[Doorvoer op 26-1kV],3)</f>
        <v>#VALUE!</v>
      </c>
      <c r="J10" s="315" t="e">
        <f>PROCENT_VERHOGING_NA_MAX*INDEX(Tabel3B[Afnameklanten op TRLS (∑)],3)</f>
        <v>#VALUE!</v>
      </c>
      <c r="K10" s="312" t="e">
        <f>PROCENT_VERHOGING_NA_MAX*INDEX(Tabel3B[Afnameklanten op TRLS],3)</f>
        <v>#VALUE!</v>
      </c>
      <c r="L10" s="321"/>
      <c r="M10" s="320"/>
      <c r="N10" s="317"/>
      <c r="O10" s="324"/>
      <c r="P10" s="324"/>
      <c r="Q10" s="318"/>
      <c r="R10" s="340" t="str">
        <f>INDEX(Tabel3B[Injectieklanten (∑)],3)</f>
        <v xml:space="preserve"> </v>
      </c>
      <c r="S10" s="321" t="str">
        <f>INDEX(Tabel3B[Injectieklanten op TRHS],3)</f>
        <v xml:space="preserve"> </v>
      </c>
      <c r="T10" s="321" t="str">
        <f>INDEX(Tabel3B[Injectieklanten  op &gt;26-36kV],3)</f>
        <v xml:space="preserve"> </v>
      </c>
      <c r="U10" s="321" t="str">
        <f>INDEX(Tabel3B[Injectieklanten op 26-1kV],3)</f>
        <v xml:space="preserve"> </v>
      </c>
      <c r="V10" s="321" t="str">
        <f>INDEX(Tabel3B[Injectieklanten op TRLS],3)</f>
        <v xml:space="preserve"> </v>
      </c>
      <c r="W10" s="322" t="str">
        <f>INDEX(Tabel3B[Injectieklanten op LS],3)</f>
        <v xml:space="preserve"> </v>
      </c>
    </row>
    <row r="11" spans="1:23" ht="18">
      <c r="A11" s="132" t="s">
        <v>83</v>
      </c>
      <c r="B11" s="150" t="s">
        <v>113</v>
      </c>
      <c r="C11" s="323"/>
      <c r="D11" s="320"/>
      <c r="E11" s="318"/>
      <c r="F11" s="322"/>
      <c r="G11" s="320"/>
      <c r="H11" s="317"/>
      <c r="I11" s="318"/>
      <c r="J11" s="322"/>
      <c r="K11" s="323"/>
      <c r="L11" s="326"/>
      <c r="M11" s="325" t="e">
        <f>PROCENT_VERHOGING_NA_MAX*INDEX(Tabel3B[Afnameklanten op LS met piekmeting],4)</f>
        <v>#DIV/0!</v>
      </c>
      <c r="N11" s="345" t="e">
        <f>PROCENT_VERHOGING_NA_MAX*INDEX(Tabel3B[Doorvoer op LS met piekmeting],4)</f>
        <v>#DIV/0!</v>
      </c>
      <c r="O11" s="324"/>
      <c r="P11" s="324"/>
      <c r="Q11" s="318"/>
      <c r="R11" s="340" t="str">
        <f>INDEX(Tabel3B[Injectieklanten (∑)],4)</f>
        <v xml:space="preserve"> </v>
      </c>
      <c r="S11" s="321" t="str">
        <f>INDEX(Tabel3B[Injectieklanten op TRHS],4)</f>
        <v xml:space="preserve"> </v>
      </c>
      <c r="T11" s="321" t="str">
        <f>INDEX(Tabel3B[Injectieklanten  op &gt;26-36kV],4)</f>
        <v xml:space="preserve"> </v>
      </c>
      <c r="U11" s="321" t="str">
        <f>INDEX(Tabel3B[Injectieklanten op 26-1kV],4)</f>
        <v xml:space="preserve"> </v>
      </c>
      <c r="V11" s="321" t="str">
        <f>INDEX(Tabel3B[Injectieklanten op TRLS],4)</f>
        <v xml:space="preserve"> </v>
      </c>
      <c r="W11" s="322" t="str">
        <f>INDEX(Tabel3B[Injectieklanten op LS],4)</f>
        <v xml:space="preserve"> </v>
      </c>
    </row>
    <row r="12" spans="1:23" ht="18">
      <c r="A12" s="132" t="s">
        <v>83</v>
      </c>
      <c r="B12" s="150" t="s">
        <v>114</v>
      </c>
      <c r="C12" s="323"/>
      <c r="D12" s="320"/>
      <c r="E12" s="318"/>
      <c r="F12" s="322"/>
      <c r="G12" s="320"/>
      <c r="H12" s="317"/>
      <c r="I12" s="318"/>
      <c r="J12" s="322"/>
      <c r="K12" s="323"/>
      <c r="L12" s="326"/>
      <c r="M12" s="320"/>
      <c r="N12" s="317"/>
      <c r="O12" s="319" t="e">
        <f>PROCENT_VERHOGING_NA_MAX*INDEX(Tabel3B[Afnameklanten op LS met klassieke meter],5)</f>
        <v>#DIV/0!</v>
      </c>
      <c r="P12" s="319" t="e">
        <f>PROCENT_VERHOGING_NA_MAX*INDEX(Tabel3B[Doorvoer op LS zonder piekmeting],5)</f>
        <v>#DIV/0!</v>
      </c>
      <c r="Q12" s="318"/>
      <c r="R12" s="340" t="str">
        <f>INDEX(Tabel3B[Injectieklanten (∑)],5)</f>
        <v xml:space="preserve"> </v>
      </c>
      <c r="S12" s="321" t="str">
        <f>INDEX(Tabel3B[Injectieklanten op TRHS],5)</f>
        <v xml:space="preserve"> </v>
      </c>
      <c r="T12" s="321" t="str">
        <f>INDEX(Tabel3B[Injectieklanten  op &gt;26-36kV],5)</f>
        <v xml:space="preserve"> </v>
      </c>
      <c r="U12" s="321" t="str">
        <f>INDEX(Tabel3B[Injectieklanten op 26-1kV],5)</f>
        <v xml:space="preserve"> </v>
      </c>
      <c r="V12" s="321" t="str">
        <f>INDEX(Tabel3B[Injectieklanten op TRLS],5)</f>
        <v xml:space="preserve"> </v>
      </c>
      <c r="W12" s="322" t="str">
        <f>INDEX(Tabel3B[Injectieklanten op LS],5)</f>
        <v xml:space="preserve"> </v>
      </c>
    </row>
    <row r="13" spans="1:23" ht="18">
      <c r="A13" s="132" t="s">
        <v>83</v>
      </c>
      <c r="B13" s="150" t="s">
        <v>115</v>
      </c>
      <c r="C13" s="323"/>
      <c r="D13" s="320"/>
      <c r="E13" s="318"/>
      <c r="F13" s="322"/>
      <c r="G13" s="320"/>
      <c r="H13" s="317"/>
      <c r="I13" s="318"/>
      <c r="J13" s="322"/>
      <c r="K13" s="323"/>
      <c r="L13" s="326"/>
      <c r="M13" s="325" t="e">
        <f>PROCENT_VERHOGING_NA_MAX*INDEX(Tabel3B[Afnameklanten op LS met piekmeting],6)</f>
        <v>#DIV/0!</v>
      </c>
      <c r="N13" s="345" t="e">
        <f>PROCENT_VERHOGING_NA_MAX*INDEX(Tabel3B[Doorvoer op LS met piekmeting],6)</f>
        <v>#DIV/0!</v>
      </c>
      <c r="O13" s="319" t="e">
        <f>PROCENT_VERHOGING_NA_MAX*INDEX(Tabel3B[Afnameklanten op LS met klassieke meter],6)</f>
        <v>#DIV/0!</v>
      </c>
      <c r="P13" s="319" t="e">
        <f>PROCENT_VERHOGING_NA_MAX*INDEX(Tabel3B[Doorvoer op LS zonder piekmeting],6)</f>
        <v>#DIV/0!</v>
      </c>
      <c r="Q13" s="318"/>
      <c r="R13" s="340" t="str">
        <f>INDEX(Tabel3B[Injectieklanten (∑)],6)</f>
        <v xml:space="preserve"> </v>
      </c>
      <c r="S13" s="321" t="str">
        <f>INDEX(Tabel3B[Injectieklanten op TRHS],6)</f>
        <v xml:space="preserve"> </v>
      </c>
      <c r="T13" s="321" t="str">
        <f>INDEX(Tabel3B[Injectieklanten  op &gt;26-36kV],6)</f>
        <v xml:space="preserve"> </v>
      </c>
      <c r="U13" s="321" t="str">
        <f>INDEX(Tabel3B[Injectieklanten op 26-1kV],6)</f>
        <v xml:space="preserve"> </v>
      </c>
      <c r="V13" s="321" t="str">
        <f>INDEX(Tabel3B[Injectieklanten op TRLS],6)</f>
        <v xml:space="preserve"> </v>
      </c>
      <c r="W13" s="322" t="str">
        <f>INDEX(Tabel3B[Injectieklanten op LS],6)</f>
        <v xml:space="preserve"> </v>
      </c>
    </row>
    <row r="14" spans="1:23" ht="18">
      <c r="A14" s="132" t="s">
        <v>83</v>
      </c>
      <c r="B14" s="150" t="s">
        <v>116</v>
      </c>
      <c r="C14" s="323"/>
      <c r="D14" s="320"/>
      <c r="E14" s="318"/>
      <c r="F14" s="322"/>
      <c r="G14" s="320"/>
      <c r="H14" s="317"/>
      <c r="I14" s="318"/>
      <c r="J14" s="322"/>
      <c r="K14" s="323"/>
      <c r="L14" s="321"/>
      <c r="M14" s="320"/>
      <c r="N14" s="317"/>
      <c r="O14" s="324"/>
      <c r="P14" s="324"/>
      <c r="Q14" s="318"/>
      <c r="R14" s="341" t="e">
        <f>INDEX(Tabel3B[Injectieklanten (∑)],7)</f>
        <v>#VALUE!</v>
      </c>
      <c r="S14" s="326" t="e">
        <f>INDEX(Tabel3B[Injectieklanten op TRHS],7)</f>
        <v>#VALUE!</v>
      </c>
      <c r="T14" s="326" t="e">
        <f>INDEX(Tabel3B[Injectieklanten  op &gt;26-36kV],7)</f>
        <v>#VALUE!</v>
      </c>
      <c r="U14" s="326" t="e">
        <f>INDEX(Tabel3B[Injectieklanten op 26-1kV],7)</f>
        <v>#VALUE!</v>
      </c>
      <c r="V14" s="326" t="e">
        <f>INDEX(Tabel3B[Injectieklanten op TRLS],7)</f>
        <v>#VALUE!</v>
      </c>
      <c r="W14" s="326" t="e">
        <f>INDEX(Tabel3B[Injectieklanten op LS],7)</f>
        <v>#VALUE!</v>
      </c>
    </row>
    <row r="15" spans="1:23">
      <c r="A15" s="132" t="s">
        <v>13</v>
      </c>
      <c r="B15" s="150" t="s">
        <v>197</v>
      </c>
      <c r="C15" s="312" t="e">
        <f>INDEX(Tabel3B[Afnameklanten op TRHS (∑)],8)</f>
        <v>#VALUE!</v>
      </c>
      <c r="D15" s="313" t="e">
        <f>INDEX(Tabel3B[Afnameklanten op TRHS],8)</f>
        <v>#VALUE!</v>
      </c>
      <c r="E15" s="314" t="e">
        <f>INDEX(Tabel3B[Afnameklanten op &gt;26-36 kV met AV ≥ 5MVA],8)</f>
        <v>#VALUE!</v>
      </c>
      <c r="F15" s="315" t="e">
        <f>INDEX(Tabel3B[Afnameklanten op MS (∑)],8)</f>
        <v>#VALUE!</v>
      </c>
      <c r="G15" s="313" t="e">
        <f>INDEX(Tabel3B[Afnameklanten op &gt;26-36 kV met AV &lt; 5MVA],8)</f>
        <v>#VALUE!</v>
      </c>
      <c r="H15" s="316" t="e">
        <f>INDEX(Tabel3B[Afnameklanten op 26-1kV],8)</f>
        <v>#VALUE!</v>
      </c>
      <c r="I15" s="314" t="e">
        <f>INDEX(Tabel3B[Doorvoer op 26-1kV],8)</f>
        <v>#VALUE!</v>
      </c>
      <c r="J15" s="315" t="e">
        <f>INDEX(Tabel3B[Afnameklanten op TRLS (∑)],8)</f>
        <v>#VALUE!</v>
      </c>
      <c r="K15" s="312" t="e">
        <f>INDEX(Tabel3B[Afnameklanten op TRLS],8)</f>
        <v>#VALUE!</v>
      </c>
      <c r="L15" s="321"/>
      <c r="M15" s="320"/>
      <c r="N15" s="317"/>
      <c r="O15" s="324"/>
      <c r="P15" s="324"/>
      <c r="Q15" s="318"/>
      <c r="R15" s="340" t="str">
        <f>INDEX(Tabel3B[Injectieklanten (∑)],8)</f>
        <v xml:space="preserve"> </v>
      </c>
      <c r="S15" s="321" t="str">
        <f>INDEX(Tabel3B[Injectieklanten op TRHS],8)</f>
        <v xml:space="preserve"> </v>
      </c>
      <c r="T15" s="321" t="str">
        <f>INDEX(Tabel3B[Injectieklanten  op &gt;26-36kV],8)</f>
        <v xml:space="preserve"> </v>
      </c>
      <c r="U15" s="321" t="str">
        <f>INDEX(Tabel3B[Injectieklanten op 26-1kV],8)</f>
        <v xml:space="preserve"> </v>
      </c>
      <c r="V15" s="321" t="str">
        <f>INDEX(Tabel3B[Injectieklanten op TRLS],8)</f>
        <v xml:space="preserve"> </v>
      </c>
      <c r="W15" s="322" t="str">
        <f>INDEX(Tabel3B[Injectieklanten op LS],8)</f>
        <v xml:space="preserve"> </v>
      </c>
    </row>
    <row r="16" spans="1:23">
      <c r="A16" s="132" t="s">
        <v>84</v>
      </c>
      <c r="B16" s="150" t="s">
        <v>7</v>
      </c>
      <c r="C16" s="355" t="e">
        <f>INDEX(Tabel3B[Afnameklanten op TRHS (∑)],9)</f>
        <v>#DIV/0!</v>
      </c>
      <c r="D16" s="174" t="e">
        <f>INDEX(Tabel3B[Afnameklanten op TRHS],9)</f>
        <v>#DIV/0!</v>
      </c>
      <c r="E16" s="175" t="e">
        <f>INDEX(Tabel3B[Afnameklanten op &gt;26-36 kV met AV ≥ 5MVA],9)</f>
        <v>#DIV/0!</v>
      </c>
      <c r="F16" s="358" t="e">
        <f>INDEX(Tabel3B[Afnameklanten op MS (∑)],9)</f>
        <v>#DIV/0!</v>
      </c>
      <c r="G16" s="174" t="e">
        <f>INDEX(Tabel3B[Afnameklanten op &gt;26-36 kV met AV &lt; 5MVA],9)</f>
        <v>#DIV/0!</v>
      </c>
      <c r="H16" s="265" t="e">
        <f>INDEX(Tabel3B[Afnameklanten op 26-1kV],9)</f>
        <v>#DIV/0!</v>
      </c>
      <c r="I16" s="175" t="e">
        <f>INDEX(Tabel3B[Doorvoer op 26-1kV],9)</f>
        <v>#DIV/0!</v>
      </c>
      <c r="J16" s="358" t="e">
        <f>INDEX(Tabel3B[Afnameklanten op TRLS (∑)],9)</f>
        <v>#DIV/0!</v>
      </c>
      <c r="K16" s="355" t="e">
        <f>INDEX(Tabel3B[Afnameklanten op TRLS],9)</f>
        <v>#DIV/0!</v>
      </c>
      <c r="L16" s="268" t="e">
        <f>INDEX(Tabel3B[Afnameklanten op LS (∑)],9)</f>
        <v>#DIV/0!</v>
      </c>
      <c r="M16" s="174" t="e">
        <f>INDEX(Tabel3B[Afnameklanten op LS met piekmeting],9)</f>
        <v>#DIV/0!</v>
      </c>
      <c r="N16" s="265" t="e">
        <f>INDEX(Tabel3B[Doorvoer op LS met piekmeting],9)</f>
        <v>#DIV/0!</v>
      </c>
      <c r="O16" s="574"/>
      <c r="P16" s="574"/>
      <c r="Q16" s="352"/>
      <c r="R16" s="575" t="str">
        <f>INDEX(Tabel3B[Injectieklanten (∑)],9)</f>
        <v xml:space="preserve"> </v>
      </c>
      <c r="S16" s="353" t="str">
        <f>INDEX(Tabel3B[Injectieklanten op TRHS],9)</f>
        <v xml:space="preserve"> </v>
      </c>
      <c r="T16" s="353" t="str">
        <f>INDEX(Tabel3B[Injectieklanten  op &gt;26-36kV],9)</f>
        <v xml:space="preserve"> </v>
      </c>
      <c r="U16" s="353" t="str">
        <f>INDEX(Tabel3B[Injectieklanten op 26-1kV],9)</f>
        <v xml:space="preserve"> </v>
      </c>
      <c r="V16" s="353" t="str">
        <f>INDEX(Tabel3B[Injectieklanten op TRLS],9)</f>
        <v xml:space="preserve"> </v>
      </c>
      <c r="W16" s="576" t="str">
        <f>INDEX(Tabel3B[Injectieklanten op LS],9)</f>
        <v xml:space="preserve"> </v>
      </c>
    </row>
    <row r="17" spans="1:23">
      <c r="A17" s="132" t="s">
        <v>84</v>
      </c>
      <c r="B17" s="150" t="s">
        <v>8</v>
      </c>
      <c r="C17" s="355" t="e">
        <f>INDEX(Tabel3B[Afnameklanten op TRHS (∑)],10)</f>
        <v>#DIV/0!</v>
      </c>
      <c r="D17" s="174" t="e">
        <f>INDEX(Tabel3B[Afnameklanten op TRHS],10)</f>
        <v>#DIV/0!</v>
      </c>
      <c r="E17" s="175" t="e">
        <f>INDEX(Tabel3B[Afnameklanten op &gt;26-36 kV met AV ≥ 5MVA],10)</f>
        <v>#DIV/0!</v>
      </c>
      <c r="F17" s="358" t="e">
        <f>INDEX(Tabel3B[Afnameklanten op MS (∑)],10)</f>
        <v>#DIV/0!</v>
      </c>
      <c r="G17" s="174" t="e">
        <f>INDEX(Tabel3B[Afnameklanten op &gt;26-36 kV met AV &lt; 5MVA],10)</f>
        <v>#DIV/0!</v>
      </c>
      <c r="H17" s="265" t="e">
        <f>INDEX(Tabel3B[Afnameklanten op 26-1kV],10)</f>
        <v>#DIV/0!</v>
      </c>
      <c r="I17" s="175" t="e">
        <f>INDEX(Tabel3B[Doorvoer op 26-1kV],10)</f>
        <v>#DIV/0!</v>
      </c>
      <c r="J17" s="358" t="e">
        <f>INDEX(Tabel3B[Afnameklanten op TRLS (∑)],10)</f>
        <v>#DIV/0!</v>
      </c>
      <c r="K17" s="355" t="e">
        <f>INDEX(Tabel3B[Afnameklanten op TRLS],10)</f>
        <v>#DIV/0!</v>
      </c>
      <c r="L17" s="264" t="e">
        <f>INDEX(Tabel3B[Afnameklanten op LS (∑)],10)</f>
        <v>#DIV/0!</v>
      </c>
      <c r="M17" s="174" t="e">
        <f>INDEX(Tabel3B[Afnameklanten op LS met piekmeting],10)</f>
        <v>#DIV/0!</v>
      </c>
      <c r="N17" s="265" t="e">
        <f>INDEX(Tabel3B[Doorvoer op LS met piekmeting],10)</f>
        <v>#DIV/0!</v>
      </c>
      <c r="O17" s="574"/>
      <c r="P17" s="574"/>
      <c r="Q17" s="352"/>
      <c r="R17" s="575"/>
      <c r="S17" s="353"/>
      <c r="T17" s="353"/>
      <c r="U17" s="353"/>
      <c r="V17" s="353"/>
      <c r="W17" s="576"/>
    </row>
    <row r="18" spans="1:23">
      <c r="A18" s="132" t="s">
        <v>84</v>
      </c>
      <c r="B18" s="150" t="s">
        <v>273</v>
      </c>
      <c r="C18" s="356"/>
      <c r="D18" s="354"/>
      <c r="E18" s="352"/>
      <c r="F18" s="576"/>
      <c r="G18" s="354"/>
      <c r="H18" s="351"/>
      <c r="I18" s="352"/>
      <c r="J18" s="576"/>
      <c r="K18" s="356"/>
      <c r="L18" s="264" t="e">
        <f>INDEX(Tabel3B[Afnameklanten op LS (∑)],11)</f>
        <v>#DIV/0!</v>
      </c>
      <c r="M18" s="174" t="e">
        <f>INDEX(Tabel3B[Afnameklanten op LS met piekmeting],11)</f>
        <v>#DIV/0!</v>
      </c>
      <c r="N18" s="351"/>
      <c r="O18" s="574"/>
      <c r="P18" s="574"/>
      <c r="Q18" s="352"/>
      <c r="R18" s="575"/>
      <c r="S18" s="353"/>
      <c r="T18" s="353"/>
      <c r="U18" s="353"/>
      <c r="V18" s="353"/>
      <c r="W18" s="576"/>
    </row>
    <row r="19" spans="1:23">
      <c r="A19" s="132" t="s">
        <v>84</v>
      </c>
      <c r="B19" s="150" t="s">
        <v>274</v>
      </c>
      <c r="C19" s="356"/>
      <c r="D19" s="354"/>
      <c r="E19" s="352"/>
      <c r="F19" s="576"/>
      <c r="G19" s="354"/>
      <c r="H19" s="351"/>
      <c r="I19" s="352"/>
      <c r="J19" s="576"/>
      <c r="K19" s="356"/>
      <c r="L19" s="264" t="e">
        <f>INDEX(Tabel3B[Afnameklanten op LS (∑)],12)</f>
        <v>#DIV/0!</v>
      </c>
      <c r="M19" s="174" t="e">
        <f>INDEX(Tabel3B[Afnameklanten op LS met piekmeting],12)</f>
        <v>#DIV/0!</v>
      </c>
      <c r="N19" s="351"/>
      <c r="O19" s="574"/>
      <c r="P19" s="574"/>
      <c r="Q19" s="352"/>
      <c r="R19" s="575"/>
      <c r="S19" s="353"/>
      <c r="T19" s="353"/>
      <c r="U19" s="353"/>
      <c r="V19" s="353"/>
      <c r="W19" s="576"/>
    </row>
    <row r="20" spans="1:23">
      <c r="A20" s="132" t="s">
        <v>84</v>
      </c>
      <c r="B20" s="150" t="s">
        <v>129</v>
      </c>
      <c r="C20" s="356"/>
      <c r="D20" s="354"/>
      <c r="E20" s="352"/>
      <c r="F20" s="576"/>
      <c r="G20" s="354"/>
      <c r="H20" s="351"/>
      <c r="I20" s="352"/>
      <c r="J20" s="576"/>
      <c r="K20" s="356"/>
      <c r="L20" s="264" t="e">
        <f>INDEX(Tabel3B[Afnameklanten op LS (∑)],13)</f>
        <v>#DIV/0!</v>
      </c>
      <c r="M20" s="354"/>
      <c r="N20" s="266"/>
      <c r="O20" s="265" t="e">
        <f>INDEX(Tabel3B[Afnameklanten op LS met klassieke meter],13)</f>
        <v>#DIV/0!</v>
      </c>
      <c r="P20" s="265" t="e">
        <f>INDEX(Tabel3B[Doorvoer op LS zonder piekmeting],13)</f>
        <v>#DIV/0!</v>
      </c>
      <c r="Q20" s="352"/>
      <c r="R20" s="575"/>
      <c r="S20" s="353"/>
      <c r="T20" s="353"/>
      <c r="U20" s="353"/>
      <c r="V20" s="353"/>
      <c r="W20" s="576"/>
    </row>
    <row r="21" spans="1:23">
      <c r="A21" s="132" t="s">
        <v>84</v>
      </c>
      <c r="B21" s="150" t="s">
        <v>342</v>
      </c>
      <c r="C21" s="356"/>
      <c r="D21" s="354"/>
      <c r="E21" s="352"/>
      <c r="F21" s="576"/>
      <c r="G21" s="354"/>
      <c r="H21" s="351"/>
      <c r="I21" s="352"/>
      <c r="J21" s="576"/>
      <c r="K21" s="356"/>
      <c r="L21" s="353"/>
      <c r="M21" s="354"/>
      <c r="N21" s="266"/>
      <c r="O21" s="351"/>
      <c r="P21" s="351"/>
      <c r="Q21" s="352"/>
      <c r="R21" s="357" t="e">
        <f>INDEX(Tabel3B[Injectieklanten (∑)],14)</f>
        <v>#DIV/0!</v>
      </c>
      <c r="S21" s="357" t="e">
        <f>INDEX(Tabel3B[Injectieklanten op TRHS],14)</f>
        <v>#DIV/0!</v>
      </c>
      <c r="T21" s="357" t="e">
        <f>INDEX(Tabel3B[Injectieklanten  op &gt;26-36kV],14)</f>
        <v>#DIV/0!</v>
      </c>
      <c r="U21" s="357" t="e">
        <f>INDEX(Tabel3B[Injectieklanten op 26-1kV],14)</f>
        <v>#DIV/0!</v>
      </c>
      <c r="V21" s="357" t="e">
        <f>INDEX(Tabel3B[Injectieklanten op TRLS],14)</f>
        <v>#DIV/0!</v>
      </c>
      <c r="W21" s="357" t="e">
        <f>INDEX(Tabel3B[Injectieklanten op LS],14)</f>
        <v>#DIV/0!</v>
      </c>
    </row>
    <row r="22" spans="1:23" ht="18">
      <c r="A22" s="132" t="s">
        <v>85</v>
      </c>
      <c r="B22" s="150" t="s">
        <v>217</v>
      </c>
      <c r="C22" s="312" t="e">
        <f>INDEX(Tabel3B[Afnameklanten op TRHS (∑)],15)</f>
        <v>#VALUE!</v>
      </c>
      <c r="D22" s="313" t="e">
        <f>INDEX(Tabel3B[Afnameklanten op TRHS],15)</f>
        <v>#VALUE!</v>
      </c>
      <c r="E22" s="314" t="e">
        <f>INDEX(Tabel3B[Afnameklanten op &gt;26-36 kV met AV ≥ 5MVA],15)</f>
        <v>#VALUE!</v>
      </c>
      <c r="F22" s="315" t="e">
        <f>INDEX(Tabel3B[Afnameklanten op MS (∑)],15)</f>
        <v>#VALUE!</v>
      </c>
      <c r="G22" s="313" t="e">
        <f>INDEX(Tabel3B[Afnameklanten op &gt;26-36 kV met AV &lt; 5MVA],15)</f>
        <v>#VALUE!</v>
      </c>
      <c r="H22" s="316" t="e">
        <f>INDEX(Tabel3B[Afnameklanten op 26-1kV],15)</f>
        <v>#VALUE!</v>
      </c>
      <c r="I22" s="314" t="e">
        <f>INDEX(Tabel3B[Doorvoer op 26-1kV],15)</f>
        <v>#VALUE!</v>
      </c>
      <c r="J22" s="315" t="e">
        <f>INDEX(Tabel3B[Afnameklanten op TRLS (∑)],15)</f>
        <v>#VALUE!</v>
      </c>
      <c r="K22" s="312" t="e">
        <f>INDEX(Tabel3B[Afnameklanten op TRLS],15)</f>
        <v>#VALUE!</v>
      </c>
      <c r="L22" s="326" t="e">
        <f>INDEX(Tabel3B[Afnameklanten op LS (∑)],15)</f>
        <v>#VALUE!</v>
      </c>
      <c r="M22" s="313" t="e">
        <f>INDEX(Tabel3B[Afnameklanten op LS met piekmeting],15)</f>
        <v>#VALUE!</v>
      </c>
      <c r="N22" s="316" t="e">
        <f>INDEX(Tabel3B[Doorvoer op LS met piekmeting],15)</f>
        <v>#VALUE!</v>
      </c>
      <c r="O22" s="316" t="e">
        <f>INDEX(Tabel3B[Afnameklanten op LS met klassieke meter],15)</f>
        <v>#VALUE!</v>
      </c>
      <c r="P22" s="316" t="e">
        <f>INDEX(Tabel3B[Doorvoer op LS zonder piekmeting],15)</f>
        <v>#VALUE!</v>
      </c>
      <c r="Q22" s="318"/>
      <c r="R22" s="340"/>
      <c r="S22" s="321"/>
      <c r="T22" s="321"/>
      <c r="U22" s="321"/>
      <c r="V22" s="321"/>
      <c r="W22" s="322"/>
    </row>
    <row r="23" spans="1:23" ht="18">
      <c r="A23" s="132" t="s">
        <v>85</v>
      </c>
      <c r="B23" s="150" t="s">
        <v>216</v>
      </c>
      <c r="C23" s="323"/>
      <c r="D23" s="320"/>
      <c r="E23" s="318"/>
      <c r="F23" s="315" t="e">
        <f>INDEX(Tabel3B[Afnameklanten op MS (∑)],16)</f>
        <v>#VALUE!</v>
      </c>
      <c r="G23" s="320"/>
      <c r="H23" s="316" t="e">
        <f>INDEX(Tabel3B[Afnameklanten op 26-1kV],16)</f>
        <v>#VALUE!</v>
      </c>
      <c r="I23" s="318"/>
      <c r="J23" s="315" t="e">
        <f>INDEX(Tabel3B[Afnameklanten op TRLS (∑)],16)</f>
        <v>#VALUE!</v>
      </c>
      <c r="K23" s="312" t="e">
        <f>INDEX(Tabel3B[Afnameklanten op TRLS],16)</f>
        <v>#VALUE!</v>
      </c>
      <c r="L23" s="579" t="e">
        <f>INDEX(Tabel3B[Afnameklanten op LS (∑)],16)</f>
        <v>#VALUE!</v>
      </c>
      <c r="M23" s="313" t="e">
        <f>INDEX(Tabel3B[Afnameklanten op LS met piekmeting],16)</f>
        <v>#VALUE!</v>
      </c>
      <c r="N23" s="344"/>
      <c r="O23" s="316" t="e">
        <f>INDEX(Tabel3B[Afnameklanten op LS met klassieke meter],16)</f>
        <v>#VALUE!</v>
      </c>
      <c r="P23" s="577"/>
      <c r="Q23" s="318"/>
      <c r="R23" s="340"/>
      <c r="S23" s="321"/>
      <c r="T23" s="321"/>
      <c r="U23" s="321"/>
      <c r="V23" s="321"/>
      <c r="W23" s="322"/>
    </row>
    <row r="24" spans="1:23" ht="18">
      <c r="A24" s="132" t="s">
        <v>9</v>
      </c>
      <c r="B24" s="150" t="s">
        <v>115</v>
      </c>
      <c r="C24" s="312" t="e">
        <f>INDEX(Tabel3B[Afnameklanten op TRHS (∑)],17)</f>
        <v>#VALUE!</v>
      </c>
      <c r="D24" s="313" t="e">
        <f>INDEX(Tabel3B[Afnameklanten op TRHS],17)</f>
        <v>#VALUE!</v>
      </c>
      <c r="E24" s="314" t="e">
        <f>INDEX(Tabel3B[Afnameklanten op &gt;26-36 kV met AV ≥ 5MVA],17)</f>
        <v>#VALUE!</v>
      </c>
      <c r="F24" s="315" t="e">
        <f>INDEX(Tabel3B[Afnameklanten op MS (∑)],17)</f>
        <v>#VALUE!</v>
      </c>
      <c r="G24" s="313" t="e">
        <f>INDEX(Tabel3B[Afnameklanten op &gt;26-36 kV met AV &lt; 5MVA],17)</f>
        <v>#VALUE!</v>
      </c>
      <c r="H24" s="316" t="e">
        <f>INDEX(Tabel3B[Afnameklanten op 26-1kV],17)</f>
        <v>#VALUE!</v>
      </c>
      <c r="I24" s="314" t="e">
        <f>INDEX(Tabel3B[Doorvoer op 26-1kV],17)</f>
        <v>#VALUE!</v>
      </c>
      <c r="J24" s="315" t="e">
        <f>INDEX(Tabel3B[Afnameklanten op TRLS (∑)],17)</f>
        <v>#VALUE!</v>
      </c>
      <c r="K24" s="312" t="e">
        <f>INDEX(Tabel3B[Afnameklanten op TRLS],17)</f>
        <v>#VALUE!</v>
      </c>
      <c r="L24" s="326" t="e">
        <f>INDEX(Tabel3B[Afnameklanten op LS (∑)],17)</f>
        <v>#VALUE!</v>
      </c>
      <c r="M24" s="313" t="e">
        <f>INDEX(Tabel3B[Afnameklanten op LS met piekmeting],17)</f>
        <v>#VALUE!</v>
      </c>
      <c r="N24" s="316" t="e">
        <f>INDEX(Tabel3B[Doorvoer op LS met piekmeting],17)</f>
        <v>#VALUE!</v>
      </c>
      <c r="O24" s="316" t="e">
        <f>INDEX(Tabel3B[Afnameklanten op LS met klassieke meter],17)</f>
        <v>#VALUE!</v>
      </c>
      <c r="P24" s="316" t="e">
        <f>INDEX(Tabel3B[Doorvoer op LS zonder piekmeting],17)</f>
        <v>#VALUE!</v>
      </c>
      <c r="Q24" s="318"/>
      <c r="R24" s="340"/>
      <c r="S24" s="321"/>
      <c r="T24" s="321"/>
      <c r="U24" s="321"/>
      <c r="V24" s="321"/>
      <c r="W24" s="322"/>
    </row>
    <row r="25" spans="1:23" ht="18">
      <c r="A25" s="133" t="s">
        <v>86</v>
      </c>
      <c r="B25" s="151" t="s">
        <v>272</v>
      </c>
      <c r="C25" s="312"/>
      <c r="D25" s="328"/>
      <c r="E25" s="329"/>
      <c r="F25" s="315"/>
      <c r="G25" s="328"/>
      <c r="H25" s="331"/>
      <c r="I25" s="329"/>
      <c r="J25" s="330"/>
      <c r="K25" s="327"/>
      <c r="L25" s="573"/>
      <c r="M25" s="313"/>
      <c r="N25" s="345"/>
      <c r="O25" s="316"/>
      <c r="P25" s="343"/>
      <c r="Q25" s="338"/>
      <c r="R25" s="342"/>
      <c r="S25" s="334"/>
      <c r="T25" s="334"/>
      <c r="U25" s="334"/>
      <c r="V25" s="334"/>
      <c r="W25" s="335"/>
    </row>
    <row r="26" spans="1:23" ht="18">
      <c r="A26" s="578" t="s">
        <v>560</v>
      </c>
      <c r="B26" s="151" t="s">
        <v>272</v>
      </c>
      <c r="C26" s="327" t="e">
        <f>INDEX(Tabel3B[Afnameklanten op TRHS (∑)],19)</f>
        <v>#DIV/0!</v>
      </c>
      <c r="D26" s="328" t="e">
        <f>INDEX(Tabel3B[Afnameklanten op TRHS],19)</f>
        <v>#DIV/0!</v>
      </c>
      <c r="E26" s="329" t="e">
        <f>INDEX(Tabel3B[Afnameklanten op &gt;26-36 kV met AV ≥ 5MVA],19)</f>
        <v>#DIV/0!</v>
      </c>
      <c r="F26" s="330" t="e">
        <f>INDEX(Tabel3B[Afnameklanten op MS (∑)],19)</f>
        <v>#DIV/0!</v>
      </c>
      <c r="G26" s="328" t="e">
        <f>INDEX(Tabel3B[Afnameklanten op &gt;26-36 kV met AV &lt; 5MVA],19)</f>
        <v>#DIV/0!</v>
      </c>
      <c r="H26" s="331" t="e">
        <f>INDEX(Tabel3B[Afnameklanten op 26-1kV],19)</f>
        <v>#DIV/0!</v>
      </c>
      <c r="I26" s="329" t="e">
        <f>INDEX(Tabel3B[Doorvoer op 26-1kV],19)</f>
        <v>#DIV/0!</v>
      </c>
      <c r="J26" s="330" t="e">
        <f>INDEX(Tabel3B[Afnameklanten op TRLS (∑)],19)</f>
        <v>#DIV/0!</v>
      </c>
      <c r="K26" s="327" t="e">
        <f>INDEX(Tabel3B[Afnameklanten op TRLS],19)</f>
        <v>#DIV/0!</v>
      </c>
      <c r="L26" s="326" t="e">
        <f>INDEX(Tabel3B[Afnameklanten op LS (∑)],19)</f>
        <v>#DIV/0!</v>
      </c>
      <c r="M26" s="328" t="e">
        <f>INDEX(Tabel3B[Afnameklanten op LS met piekmeting],19)</f>
        <v>#DIV/0!</v>
      </c>
      <c r="N26" s="316" t="e">
        <f>INDEX(Tabel3B[Doorvoer op LS met piekmeting],19)</f>
        <v>#DIV/0!</v>
      </c>
      <c r="O26" s="333" t="e">
        <f>INDEX(Tabel3B[Afnameklanten op LS met klassieke meter],19)</f>
        <v>#DIV/0!</v>
      </c>
      <c r="P26" s="333" t="e">
        <f>INDEX(Tabel3B[Doorvoer op LS zonder piekmeting],19)</f>
        <v>#DIV/0!</v>
      </c>
      <c r="Q26" s="338"/>
      <c r="R26" s="342"/>
      <c r="S26" s="334"/>
      <c r="T26" s="334"/>
      <c r="U26" s="334"/>
      <c r="V26" s="334"/>
      <c r="W26" s="335"/>
    </row>
    <row r="27" spans="1:23" ht="18">
      <c r="A27" s="133" t="s">
        <v>322</v>
      </c>
      <c r="B27" s="151" t="s">
        <v>272</v>
      </c>
      <c r="C27" s="327" t="e">
        <f>INDEX(Tabel3B[Afnameklanten op TRHS (∑)],20)</f>
        <v>#DIV/0!</v>
      </c>
      <c r="D27" s="328" t="e">
        <f>INDEX(Tabel3B[Afnameklanten op TRHS],20)</f>
        <v>#DIV/0!</v>
      </c>
      <c r="E27" s="329" t="e">
        <f>INDEX(Tabel3B[Afnameklanten op &gt;26-36 kV met AV ≥ 5MVA],20)</f>
        <v>#DIV/0!</v>
      </c>
      <c r="F27" s="330" t="e">
        <f>INDEX(Tabel3B[Afnameklanten op MS (∑)],20)</f>
        <v>#DIV/0!</v>
      </c>
      <c r="G27" s="328" t="e">
        <f>INDEX(Tabel3B[Afnameklanten op &gt;26-36 kV met AV &lt; 5MVA],20)</f>
        <v>#DIV/0!</v>
      </c>
      <c r="H27" s="331" t="e">
        <f>INDEX(Tabel3B[Afnameklanten op 26-1kV],20)</f>
        <v>#DIV/0!</v>
      </c>
      <c r="I27" s="329" t="e">
        <f>INDEX(Tabel3B[Doorvoer op 26-1kV],20)</f>
        <v>#DIV/0!</v>
      </c>
      <c r="J27" s="330" t="e">
        <f>INDEX(Tabel3B[Afnameklanten op TRLS (∑)],20)</f>
        <v>#DIV/0!</v>
      </c>
      <c r="K27" s="327" t="e">
        <f>INDEX(Tabel3B[Afnameklanten op TRLS],20)</f>
        <v>#DIV/0!</v>
      </c>
      <c r="L27" s="326" t="e">
        <f>INDEX(Tabel3B[Afnameklanten op LS (∑)],20)</f>
        <v>#DIV/0!</v>
      </c>
      <c r="M27" s="328" t="e">
        <f>INDEX(Tabel3B[Afnameklanten op LS met piekmeting],20)</f>
        <v>#DIV/0!</v>
      </c>
      <c r="N27" s="316" t="e">
        <f>INDEX(Tabel3B[Doorvoer op LS met piekmeting],20)</f>
        <v>#DIV/0!</v>
      </c>
      <c r="O27" s="333" t="e">
        <f>INDEX(Tabel3B[Afnameklanten op LS met klassieke meter],20)</f>
        <v>#DIV/0!</v>
      </c>
      <c r="P27" s="333" t="e">
        <f>INDEX(Tabel3B[Doorvoer op LS zonder piekmeting],20)</f>
        <v>#DIV/0!</v>
      </c>
      <c r="Q27" s="338"/>
      <c r="R27" s="342"/>
      <c r="S27" s="334"/>
      <c r="T27" s="334"/>
      <c r="U27" s="334"/>
      <c r="V27" s="334"/>
      <c r="W27" s="335"/>
    </row>
    <row r="28" spans="1:23" ht="18.75" thickBot="1">
      <c r="A28" s="133" t="s">
        <v>526</v>
      </c>
      <c r="B28" s="347" t="s">
        <v>153</v>
      </c>
      <c r="C28" s="336"/>
      <c r="D28" s="337"/>
      <c r="E28" s="338"/>
      <c r="F28" s="335"/>
      <c r="G28" s="337"/>
      <c r="H28" s="332"/>
      <c r="I28" s="338"/>
      <c r="J28" s="335"/>
      <c r="K28" s="336"/>
      <c r="L28" s="334"/>
      <c r="M28" s="337"/>
      <c r="N28" s="332"/>
      <c r="O28" s="339"/>
      <c r="P28" s="339"/>
      <c r="Q28" s="329" t="e">
        <f>INDEX(Tabel3B[Prosumenten met terugdraaiende teller op LS],21)</f>
        <v>#DIV/0!</v>
      </c>
      <c r="R28" s="342" t="str">
        <f>INDEX(Tabel3B[Injectieklanten (∑)],21)</f>
        <v xml:space="preserve"> </v>
      </c>
      <c r="S28" s="334" t="str">
        <f>INDEX(Tabel3B[Injectieklanten op TRHS],21)</f>
        <v xml:space="preserve"> </v>
      </c>
      <c r="T28" s="334" t="str">
        <f>INDEX(Tabel3B[Injectieklanten  op &gt;26-36kV],21)</f>
        <v xml:space="preserve"> </v>
      </c>
      <c r="U28" s="334" t="str">
        <f>INDEX(Tabel3B[Injectieklanten op 26-1kV],21)</f>
        <v xml:space="preserve"> </v>
      </c>
      <c r="V28" s="334" t="str">
        <f>INDEX(Tabel3B[Injectieklanten op TRLS],21)</f>
        <v xml:space="preserve"> </v>
      </c>
      <c r="W28" s="335" t="str">
        <f>INDEX(Tabel3B[Injectieklanten op LS],21)</f>
        <v xml:space="preserve"> </v>
      </c>
    </row>
    <row r="31" spans="1:23" ht="15.75" thickBot="1"/>
    <row r="32" spans="1:23" ht="45.75" thickBot="1">
      <c r="A32" s="74" t="s">
        <v>82</v>
      </c>
      <c r="B32" s="349" t="s">
        <v>101</v>
      </c>
      <c r="C32" s="350" t="s">
        <v>308</v>
      </c>
      <c r="D32" s="156" t="s">
        <v>102</v>
      </c>
      <c r="E32" s="145" t="s">
        <v>132</v>
      </c>
      <c r="F32" s="350" t="s">
        <v>309</v>
      </c>
      <c r="G32" s="156" t="s">
        <v>133</v>
      </c>
      <c r="H32" s="144" t="s">
        <v>269</v>
      </c>
      <c r="I32" s="145" t="s">
        <v>270</v>
      </c>
      <c r="J32" s="350" t="s">
        <v>277</v>
      </c>
      <c r="K32" s="156" t="s">
        <v>103</v>
      </c>
      <c r="L32" s="350" t="s">
        <v>310</v>
      </c>
      <c r="M32" s="156" t="s">
        <v>119</v>
      </c>
      <c r="N32" s="144" t="s">
        <v>547</v>
      </c>
      <c r="O32" s="144" t="s">
        <v>120</v>
      </c>
      <c r="P32" s="144" t="s">
        <v>548</v>
      </c>
      <c r="Q32" s="145" t="s">
        <v>121</v>
      </c>
      <c r="R32" s="272" t="s">
        <v>278</v>
      </c>
      <c r="S32" s="146" t="s">
        <v>209</v>
      </c>
      <c r="T32" s="146" t="s">
        <v>324</v>
      </c>
      <c r="U32" s="146" t="s">
        <v>271</v>
      </c>
      <c r="V32" s="146" t="s">
        <v>104</v>
      </c>
      <c r="W32" s="147" t="s">
        <v>105</v>
      </c>
    </row>
    <row r="33" spans="1:23">
      <c r="A33" s="148" t="s">
        <v>83</v>
      </c>
      <c r="B33" s="1196" t="e">
        <f>SUM(Tabel4A[[#This Row],[Afnameklanten op TRHS (∑)]],Tabel4A[[#This Row],[Afnameklanten op MS (∑)]],Tabel4A[[#This Row],[Afnameklanten op TRLS (∑)]],Tabel4A[[#This Row],[Afnameklanten op LS (∑)]],Tabel4A[[#This Row],[Injectieklanten (∑)]])</f>
        <v>#DIV/0!</v>
      </c>
      <c r="C33" s="1197" t="e">
        <f>SUM(Tabel4A[[#This Row],[Afnameklanten op TRHS]:[Afnameklanten op &gt;26-36 kV met AV ≥ 5MVA]])</f>
        <v>#DIV/0!</v>
      </c>
      <c r="D33" s="1198" t="e">
        <f>$D$8*INDEX(Rekenvolumes[Afnameklanten op TRHS],8)+$D$9*INDEX(Rekenvolumes[Afnameklanten op TRHS],9)+$D$10*INDEX(Rekenvolumes[Afnameklanten op TRHS],10)</f>
        <v>#DIV/0!</v>
      </c>
      <c r="E33" s="1199" t="e">
        <f>$E$8*INDEX(Rekenvolumes[Afnameklanten op &gt;26-36 kV met AV ≥ 5MVA],8)+$E$9*INDEX(Rekenvolumes[Afnameklanten op &gt;26-36 kV met AV ≥ 5MVA],9)+$E$10*INDEX(Rekenvolumes[Afnameklanten op &gt;26-36 kV met AV ≥ 5MVA],10)</f>
        <v>#DIV/0!</v>
      </c>
      <c r="F33" s="1197" t="e">
        <f>SUM(Tabel4A[[#This Row],[Afnameklanten op &gt;26-36 kV met AV &lt; 5MVA]:[Doorvoer op 26-1kV]])</f>
        <v>#VALUE!</v>
      </c>
      <c r="G33" s="1198" t="e">
        <f>$G$8*INDEX(Rekenvolumes[Afnameklanten op &gt;26-36 kV met AV &lt; 5MVA],8)+$G$9*INDEX(Rekenvolumes[Afnameklanten op &gt;26-36 kV met AV &lt; 5MVA],9)+$G$10*INDEX(Rekenvolumes[Afnameklanten op &gt;26-36 kV met AV &lt; 5MVA],10)</f>
        <v>#VALUE!</v>
      </c>
      <c r="H33" s="1200" t="e">
        <f>$H$8*INDEX(Rekenvolumes[Afnameklanten op 26-1kV],8)+$H$9*INDEX(Rekenvolumes[Afnameklanten op 26-1kV],9)+$H$10*INDEX(Rekenvolumes[Afnameklanten op 26-1kV],10)</f>
        <v>#VALUE!</v>
      </c>
      <c r="I33" s="1199" t="e">
        <f>$I$8*INDEX(Rekenvolumes[Doorvoer op 26-1kV],8)+$I$9*INDEX(Rekenvolumes[Doorvoer op 26-1kV],9)+$I$10*INDEX(Rekenvolumes[Doorvoer op 26-1kV],10)</f>
        <v>#VALUE!</v>
      </c>
      <c r="J33" s="1197" t="e">
        <f>SUM(Tabel4A[[#This Row],[Afnameklanten op TRLS]])</f>
        <v>#VALUE!</v>
      </c>
      <c r="K33" s="1198" t="e">
        <f>$K$8*INDEX(Rekenvolumes[Afnameklanten op TRLS],8)+$K$9*INDEX(Rekenvolumes[Afnameklanten op TRLS],9)+$K$10*INDEX(Rekenvolumes[Afnameklanten op TRLS],10)</f>
        <v>#VALUE!</v>
      </c>
      <c r="L33" s="1197" t="e">
        <f>SUM(Tabel4A[[#This Row],[Afnameklanten op LS met piekmeting]:[Prosumenten met terugdraaiende teller op LS]])</f>
        <v>#DIV/0!</v>
      </c>
      <c r="M33" s="1198" t="e">
        <f>$M$11*INDEX(Rekenvolumes[Afnameklanten op LS met piekmeting],11)+$M$13*(INDEX(Rekenvolumes[Afnameklanten op LS met piekmeting],12)+INDEX(Rekenvolumes[Afnameklanten op LS met piekmeting],13)+INDEX(Rekenvolumes[Afnameklanten op LS met piekmeting],14))</f>
        <v>#DIV/0!</v>
      </c>
      <c r="N33" s="1200" t="e">
        <f>$N$11*INDEX(Rekenvolumes[Doorvoer op LS met piekmeting],11)+$N$13*(INDEX(Rekenvolumes[Doorvoer op LS met piekmeting],12)+INDEX(Rekenvolumes[Doorvoer op LS met piekmeting],13)+INDEX(Rekenvolumes[Doorvoer op LS met piekmeting],14))</f>
        <v>#DIV/0!</v>
      </c>
      <c r="O33" s="1200" t="e">
        <f>$O$12*INDEX(Rekenvolumes[Afnameklanten op LS met klassieke meter],1)+$O$13*(INDEX(Rekenvolumes[Afnameklanten op LS met klassieke meter],12)+INDEX(Rekenvolumes[Afnameklanten op LS met klassieke meter],13)+INDEX(Rekenvolumes[Afnameklanten op LS met klassieke meter],14))</f>
        <v>#DIV/0!</v>
      </c>
      <c r="P33" s="1200" t="e">
        <f>$P$12*INDEX(Rekenvolumes[Doorvoer op LS zonder piekmeting],1)+$P$13*(INDEX(Rekenvolumes[Doorvoer op LS zonder piekmeting],12)+INDEX(Rekenvolumes[Doorvoer op LS zonder piekmeting],13)+INDEX(Rekenvolumes[Doorvoer op LS zonder piekmeting],14))</f>
        <v>#DIV/0!</v>
      </c>
      <c r="Q33" s="1233" t="e">
        <f>$Q$28*INDEX(Rekenvolumes[Prosumenten met terugdraaiende teller op LS],18)</f>
        <v>#DIV/0!</v>
      </c>
      <c r="R33" s="1201" t="e">
        <f>SUM(Tabel4A[[#This Row],[Injectieklanten op TRHS]:[Injectieklanten op LS]])</f>
        <v>#VALUE!</v>
      </c>
      <c r="S33" s="1197" t="e">
        <f>$S$14*INDEX(Rekenvolumes[Injectieklanten op TRHS],15)</f>
        <v>#VALUE!</v>
      </c>
      <c r="T33" s="1197" t="e">
        <f>$R$14*INDEX(Rekenvolumes[Injectieklanten op &gt;26-36kV],15)</f>
        <v>#VALUE!</v>
      </c>
      <c r="U33" s="1197" t="e">
        <f>$U$14*INDEX(Rekenvolumes[Injectieklanten op 26-1kV],15)</f>
        <v>#VALUE!</v>
      </c>
      <c r="V33" s="1197" t="e">
        <f>$V$14*INDEX(Rekenvolumes[Injectieklanten op TRLS],15)</f>
        <v>#VALUE!</v>
      </c>
      <c r="W33" s="1202" t="e">
        <f>$W$14*INDEX(Rekenvolumes[Injectieklanten op LS],15)</f>
        <v>#VALUE!</v>
      </c>
    </row>
    <row r="34" spans="1:23">
      <c r="A34" s="456" t="s">
        <v>357</v>
      </c>
      <c r="B34" s="1203" t="e">
        <f>SUM(Tabel4A[[#This Row],[Afnameklanten op TRHS (∑)]],Tabel4A[[#This Row],[Afnameklanten op MS (∑)]],Tabel4A[[#This Row],[Afnameklanten op TRLS (∑)]],Tabel4A[[#This Row],[Afnameklanten op LS (∑)]],Tabel4A[[#This Row],[Injectieklanten (∑)]])</f>
        <v>#DIV/0!</v>
      </c>
      <c r="C34" s="1197" t="e">
        <f>SUM(Tabel4A[[#This Row],[Afnameklanten op TRHS]:[Afnameklanten op &gt;26-36 kV met AV ≥ 5MVA]])-MAXIMUM!$E$9</f>
        <v>#DIV/0!</v>
      </c>
      <c r="D34" s="1198"/>
      <c r="E34" s="1199"/>
      <c r="F34" s="1197" t="e">
        <f>SUM(Tabel4A[[#This Row],[Afnameklanten op &gt;26-36 kV met AV &lt; 5MVA]:[Doorvoer op 26-1kV]])-MAXIMUM!$E$11</f>
        <v>#VALUE!</v>
      </c>
      <c r="G34" s="1198"/>
      <c r="H34" s="1200"/>
      <c r="I34" s="1199"/>
      <c r="J34" s="1197" t="e">
        <f>SUM(Tabel4A[[#This Row],[Afnameklanten op TRLS]])-MAXIMUM!$E$14</f>
        <v>#VALUE!</v>
      </c>
      <c r="K34" s="1198"/>
      <c r="L34" s="1197" t="e">
        <f>SUM(Tabel4A[[#This Row],[Afnameklanten op LS met piekmeting]:[Prosumenten met terugdraaiende teller op LS]])-MAXIMUM!$E$15</f>
        <v>#DIV/0!</v>
      </c>
      <c r="M34" s="1198"/>
      <c r="N34" s="1200"/>
      <c r="O34" s="1200"/>
      <c r="P34" s="1200"/>
      <c r="Q34" s="1234"/>
      <c r="R34" s="1201" t="e">
        <f>SUM(Tabel4A[[#This Row],[Injectieklanten op TRHS]:[Injectieklanten op LS]])-MAXIMUM!$E$21</f>
        <v>#VALUE!</v>
      </c>
      <c r="S34" s="1197"/>
      <c r="T34" s="1197"/>
      <c r="U34" s="1197"/>
      <c r="V34" s="1197"/>
      <c r="W34" s="1202"/>
    </row>
    <row r="35" spans="1:23">
      <c r="A35" s="132" t="s">
        <v>13</v>
      </c>
      <c r="B35" s="1204" t="e">
        <f>SUM(Tabel4A[[#This Row],[Afnameklanten op TRHS (∑)]],Tabel4A[[#This Row],[Afnameklanten op MS (∑)]],Tabel4A[[#This Row],[Afnameklanten op TRLS (∑)]],Tabel4A[[#This Row],[Afnameklanten op LS (∑)]],Tabel4A[[#This Row],[Injectieklanten (∑)]])</f>
        <v>#VALUE!</v>
      </c>
      <c r="C35" s="1197" t="e">
        <f>SUM(Tabel4A[[#This Row],[Afnameklanten op TRHS]:[Afnameklanten op &gt;26-36 kV met AV ≥ 5MVA]])</f>
        <v>#VALUE!</v>
      </c>
      <c r="D35" s="1198" t="e">
        <f>$D$15*(INDEX(Rekenvolumes[Afnameklanten op TRHS],16)+INDEX(Rekenvolumes[Afnameklanten op TRHS],17))</f>
        <v>#VALUE!</v>
      </c>
      <c r="E35" s="1199" t="e">
        <f>$E$15*(INDEX(Rekenvolumes[Afnameklanten op &gt;26-36 kV met AV ≥ 5MVA],16)+INDEX(Rekenvolumes[Afnameklanten op &gt;26-36 kV met AV ≥ 5MVA],17))</f>
        <v>#VALUE!</v>
      </c>
      <c r="F35" s="1197" t="e">
        <f>SUM(Tabel4A[[#This Row],[Afnameklanten op &gt;26-36 kV met AV &lt; 5MVA]:[Doorvoer op 26-1kV]])</f>
        <v>#VALUE!</v>
      </c>
      <c r="G35" s="1198" t="e">
        <f>$G$15*(INDEX(Rekenvolumes[Afnameklanten op &gt;26-36 kV met AV &lt; 5MVA],16)+INDEX(Rekenvolumes[Afnameklanten op &gt;26-36 kV met AV &lt; 5MVA],17))</f>
        <v>#VALUE!</v>
      </c>
      <c r="H35" s="1200" t="e">
        <f>$H$15*(INDEX(Rekenvolumes[Afnameklanten op 26-1kV],16)+INDEX(Rekenvolumes[Afnameklanten op 26-1kV],17))</f>
        <v>#VALUE!</v>
      </c>
      <c r="I35" s="1199" t="e">
        <f>$I$15*(INDEX(Rekenvolumes[Doorvoer op 26-1kV],16)+INDEX(Rekenvolumes[Doorvoer op 26-1kV],17))</f>
        <v>#VALUE!</v>
      </c>
      <c r="J35" s="1197" t="e">
        <f>SUM(Tabel4A[[#This Row],[Afnameklanten op TRLS]])</f>
        <v>#VALUE!</v>
      </c>
      <c r="K35" s="1198" t="e">
        <f>$K$15*(INDEX(Rekenvolumes[Afnameklanten op TRLS],16)+INDEX(Rekenvolumes[Afnameklanten op TRLS],17))</f>
        <v>#VALUE!</v>
      </c>
      <c r="L35" s="1205"/>
      <c r="M35" s="1206"/>
      <c r="N35" s="1207"/>
      <c r="O35" s="1207"/>
      <c r="P35" s="1207"/>
      <c r="Q35" s="1234"/>
      <c r="R35" s="1205"/>
      <c r="S35" s="1205"/>
      <c r="T35" s="1205"/>
      <c r="U35" s="1205"/>
      <c r="V35" s="1205"/>
      <c r="W35" s="1208"/>
    </row>
    <row r="36" spans="1:23">
      <c r="A36" s="132" t="s">
        <v>84</v>
      </c>
      <c r="B36" s="1203" t="e">
        <f>SUM(Tabel4A[[#This Row],[Afnameklanten op TRHS (∑)]],Tabel4A[[#This Row],[Afnameklanten op MS (∑)]],Tabel4A[[#This Row],[Afnameklanten op TRLS (∑)]],Tabel4A[[#This Row],[Afnameklanten op LS (∑)]],Tabel4A[[#This Row],[Injectieklanten (∑)]])</f>
        <v>#DIV/0!</v>
      </c>
      <c r="C36" s="1197" t="e">
        <f>SUM(Tabel4A[[#This Row],[Afnameklanten op TRHS]:[Afnameklanten op &gt;26-36 kV met AV ≥ 5MVA]])</f>
        <v>#DIV/0!</v>
      </c>
      <c r="D36" s="1198" t="e">
        <f>$D$16*INDEX(Rekenvolumes[Afnameklanten op TRHS],2)+$D$17*INDEX(Rekenvolumes[Afnameklanten op TRHS],3)+$D$18*INDEX(Rekenvolumes[Afnameklanten op TRHS],4)+$D$19*INDEX(Rekenvolumes[Afnameklanten op TRHS],5)+$D$20*INDEX(Rekenvolumes[Afnameklanten op TRHS],6)+$D$21*INDEX(Rekenvolumes[Afnameklanten op TRHS],7)</f>
        <v>#DIV/0!</v>
      </c>
      <c r="E36" s="1199" t="e">
        <f>$E$16*INDEX(Rekenvolumes[Afnameklanten op &gt;26-36 kV met AV ≥ 5MVA],2)+$E$17*INDEX(Rekenvolumes[Afnameklanten op &gt;26-36 kV met AV ≥ 5MVA],3)+$E$18*INDEX(Rekenvolumes[Afnameklanten op &gt;26-36 kV met AV ≥ 5MVA],4)+$E$19*INDEX(Rekenvolumes[Afnameklanten op &gt;26-36 kV met AV ≥ 5MVA],5)+$E$20*INDEX(Rekenvolumes[Afnameklanten op &gt;26-36 kV met AV ≥ 5MVA],6)+$E$21*INDEX(Rekenvolumes[Afnameklanten op &gt;26-36 kV met AV ≥ 5MVA],7)</f>
        <v>#DIV/0!</v>
      </c>
      <c r="F36" s="1197" t="e">
        <f>SUM(Tabel4A[[#This Row],[Afnameklanten op &gt;26-36 kV met AV &lt; 5MVA]:[Doorvoer op 26-1kV]])</f>
        <v>#DIV/0!</v>
      </c>
      <c r="G36" s="1198" t="e">
        <f>$G$16*INDEX(Rekenvolumes[Afnameklanten op &gt;26-36 kV met AV &lt; 5MVA],2)+$G$17*INDEX(Rekenvolumes[Afnameklanten op &gt;26-36 kV met AV &lt; 5MVA],3)+$G$18*INDEX(Rekenvolumes[Afnameklanten op &gt;26-36 kV met AV &lt; 5MVA],4)+$G$19*INDEX(Rekenvolumes[Afnameklanten op &gt;26-36 kV met AV &lt; 5MVA],5)+$G$20*INDEX(Rekenvolumes[Afnameklanten op &gt;26-36 kV met AV &lt; 5MVA],6)+$G$21*INDEX(Rekenvolumes[Afnameklanten op &gt;26-36 kV met AV &lt; 5MVA],7)</f>
        <v>#DIV/0!</v>
      </c>
      <c r="H36" s="1200" t="e">
        <f>$H$16*INDEX(Rekenvolumes[Afnameklanten op 26-1kV],2)+$H$17*INDEX(Rekenvolumes[Afnameklanten op 26-1kV],3)+$H$18*INDEX(Rekenvolumes[Afnameklanten op 26-1kV],4)+$H$19*INDEX(Rekenvolumes[Afnameklanten op 26-1kV],5)+$H$20*INDEX(Rekenvolumes[Afnameklanten op 26-1kV],6)+$H$21*INDEX(Rekenvolumes[Afnameklanten op 26-1kV],7)</f>
        <v>#DIV/0!</v>
      </c>
      <c r="I36" s="1199" t="e">
        <f>$I$16*INDEX(Rekenvolumes[Doorvoer op 26-1kV],2)+$I$17*INDEX(Rekenvolumes[Doorvoer op 26-1kV],3)+$I$18*INDEX(Rekenvolumes[Doorvoer op 26-1kV],4)+$I$19*INDEX(Rekenvolumes[Doorvoer op 26-1kV],5)+$I$20*INDEX(Rekenvolumes[Doorvoer op 26-1kV],6)+$I$21*INDEX(Rekenvolumes[Doorvoer op 26-1kV],7)</f>
        <v>#DIV/0!</v>
      </c>
      <c r="J36" s="1197" t="e">
        <f>SUM(Tabel4A[[#This Row],[Afnameklanten op TRLS]])</f>
        <v>#DIV/0!</v>
      </c>
      <c r="K36" s="1198" t="e">
        <f>$K$16*INDEX(Rekenvolumes[Afnameklanten op TRLS],2)+$K$17*INDEX(Rekenvolumes[Afnameklanten op TRLS],3)+$K$18*INDEX(Rekenvolumes[Afnameklanten op TRLS],4)+$K$19*INDEX(Rekenvolumes[Afnameklanten op TRLS],5)+$K$20*INDEX(Rekenvolumes[Afnameklanten op TRLS],6)+$K$21*INDEX(Rekenvolumes[Afnameklanten op TRLS],7)</f>
        <v>#DIV/0!</v>
      </c>
      <c r="L36" s="1197" t="e">
        <f>SUM(Tabel4A[[#This Row],[Afnameklanten op LS met piekmeting]:[Prosumenten met terugdraaiende teller op LS]])</f>
        <v>#DIV/0!</v>
      </c>
      <c r="M36" s="1198" t="e">
        <f>$M$16*INDEX(Rekenvolumes[Afnameklanten op LS met piekmeting],2)+$M$17*INDEX(Rekenvolumes[Afnameklanten op LS met piekmeting],3)+$M$18*INDEX(Rekenvolumes[Afnameklanten op LS met piekmeting],4)+$M$19*INDEX(Rekenvolumes[Afnameklanten op LS met piekmeting],5)+$M$20*INDEX(Rekenvolumes[Afnameklanten op LS met piekmeting],6)+$M$21*INDEX(Rekenvolumes[Afnameklanten op LS met piekmeting],7)</f>
        <v>#DIV/0!</v>
      </c>
      <c r="N36" s="1200" t="e">
        <f>$N$16*INDEX(Rekenvolumes[Doorvoer op LS met piekmeting],2)+$N$17*INDEX(Rekenvolumes[Doorvoer op LS met piekmeting],3)+$N$18*INDEX(Rekenvolumes[Doorvoer op LS met piekmeting],4)+$N$19*INDEX(Rekenvolumes[Doorvoer op LS met piekmeting],5)+$N$20*INDEX(Rekenvolumes[Doorvoer op LS met piekmeting],6)+$N$21*INDEX(Rekenvolumes[Doorvoer op LS met piekmeting],7)</f>
        <v>#DIV/0!</v>
      </c>
      <c r="O36" s="1200" t="e">
        <f>$O$16*INDEX(Rekenvolumes[Afnameklanten op LS met klassieke meter],2)+$O$17*INDEX(Rekenvolumes[Afnameklanten op LS met klassieke meter],3)+$O$18*INDEX(Rekenvolumes[Afnameklanten op LS met klassieke meter],4)+$O$19*INDEX(Rekenvolumes[Afnameklanten op LS met klassieke meter],5)+$O$20*INDEX(Rekenvolumes[Afnameklanten op LS met klassieke meter],6)+$O$21*INDEX(Rekenvolumes[Afnameklanten op LS met klassieke meter],7)</f>
        <v>#DIV/0!</v>
      </c>
      <c r="P36" s="1200" t="e">
        <f>$P$16*INDEX(Rekenvolumes[Doorvoer op LS zonder piekmeting],2)+$P$17*INDEX(Rekenvolumes[Doorvoer op LS zonder piekmeting],3)+$P$18*INDEX(Rekenvolumes[Doorvoer op LS zonder piekmeting],4)+$P$19*INDEX(Rekenvolumes[Doorvoer op LS zonder piekmeting],5)+$P$20*INDEX(Rekenvolumes[Doorvoer op LS zonder piekmeting],6)+$P$21*INDEX(Rekenvolumes[Doorvoer op LS zonder piekmeting],7)</f>
        <v>#DIV/0!</v>
      </c>
      <c r="Q36" s="1234"/>
      <c r="R36" s="1201" t="e">
        <f>SUM(Tabel4A[[#This Row],[Injectieklanten op TRHS]:[Injectieklanten op LS]])</f>
        <v>#DIV/0!</v>
      </c>
      <c r="S36" s="1197" t="e">
        <f>$S$21*INDEX(Rekenvolumes[Injectieklanten op TRHS],7)</f>
        <v>#DIV/0!</v>
      </c>
      <c r="T36" s="1197" t="e">
        <f>$T$21*INDEX(Rekenvolumes[Injectieklanten op &gt;26-36kV],7)</f>
        <v>#DIV/0!</v>
      </c>
      <c r="U36" s="1197" t="e">
        <f>$U$21*INDEX(Rekenvolumes[Injectieklanten op 26-1kV],7)</f>
        <v>#DIV/0!</v>
      </c>
      <c r="V36" s="1197" t="e">
        <f>$V$21*INDEX(Rekenvolumes[Injectieklanten op TRLS],7)</f>
        <v>#DIV/0!</v>
      </c>
      <c r="W36" s="1202" t="e">
        <f>$W$21*INDEX(Rekenvolumes[Injectieklanten op LS],7)</f>
        <v>#DIV/0!</v>
      </c>
    </row>
    <row r="37" spans="1:23">
      <c r="A37" s="132" t="s">
        <v>85</v>
      </c>
      <c r="B37" s="1204" t="e">
        <f>SUM(Tabel4A[[#This Row],[Afnameklanten op TRHS (∑)]],Tabel4A[[#This Row],[Afnameklanten op MS (∑)]],Tabel4A[[#This Row],[Afnameklanten op TRLS (∑)]],Tabel4A[[#This Row],[Afnameklanten op LS (∑)]],Tabel4A[[#This Row],[Injectieklanten (∑)]])</f>
        <v>#VALUE!</v>
      </c>
      <c r="C37" s="1197" t="e">
        <f>SUM(Tabel4A[[#This Row],[Afnameklanten op TRHS]:[Afnameklanten op &gt;26-36 kV met AV ≥ 5MVA]])</f>
        <v>#VALUE!</v>
      </c>
      <c r="D37" s="1198" t="e">
        <f>$D$22*(INDEX(Rekenvolumes[Afnameklanten op TRHS],12)+INDEX(Rekenvolumes[Afnameklanten op TRHS],13))+$D$23*INDEX(Rekenvolumes[Afnameklanten op TRHS],14)</f>
        <v>#VALUE!</v>
      </c>
      <c r="E37" s="1199" t="e">
        <f>$E$22*(INDEX(Rekenvolumes[Afnameklanten op &gt;26-36 kV met AV ≥ 5MVA],12)+INDEX(Rekenvolumes[Afnameklanten op &gt;26-36 kV met AV ≥ 5MVA],13))+$E$23*INDEX(Rekenvolumes[Afnameklanten op &gt;26-36 kV met AV ≥ 5MVA],14)</f>
        <v>#VALUE!</v>
      </c>
      <c r="F37" s="1197" t="e">
        <f>SUM(Tabel4A[[#This Row],[Afnameklanten op &gt;26-36 kV met AV &lt; 5MVA]:[Doorvoer op 26-1kV]])</f>
        <v>#VALUE!</v>
      </c>
      <c r="G37" s="1198" t="e">
        <f>$G$22*(INDEX(Rekenvolumes[Afnameklanten op &gt;26-36 kV met AV &lt; 5MVA],12)+INDEX(Rekenvolumes[Afnameklanten op &gt;26-36 kV met AV &lt; 5MVA],13))+$G$23*INDEX(Rekenvolumes[Afnameklanten op &gt;26-36 kV met AV &lt; 5MVA],14)</f>
        <v>#VALUE!</v>
      </c>
      <c r="H37" s="1200" t="e">
        <f>$H$22*(INDEX(Rekenvolumes[Afnameklanten op 26-1kV],12)+INDEX(Rekenvolumes[Afnameklanten op 26-1kV],13))+$H$23*INDEX(Rekenvolumes[Afnameklanten op 26-1kV],14)</f>
        <v>#VALUE!</v>
      </c>
      <c r="I37" s="1199" t="e">
        <f>$I$22*(INDEX(Rekenvolumes[Doorvoer op 26-1kV],12)+INDEX(Rekenvolumes[Doorvoer op 26-1kV],13))+$I$23*INDEX(Rekenvolumes[Doorvoer op 26-1kV],14)</f>
        <v>#VALUE!</v>
      </c>
      <c r="J37" s="1197" t="e">
        <f>SUM(Tabel4A[[#This Row],[Afnameklanten op TRLS]])</f>
        <v>#VALUE!</v>
      </c>
      <c r="K37" s="1198" t="e">
        <f>$K$22*(INDEX(Rekenvolumes[Afnameklanten op TRLS],12)+INDEX(Rekenvolumes[Afnameklanten op TRLS],13))+$K$23*INDEX(Rekenvolumes[Afnameklanten op TRLS],14)</f>
        <v>#VALUE!</v>
      </c>
      <c r="L37" s="1197" t="e">
        <f>SUM(Tabel4A[[#This Row],[Afnameklanten op LS met piekmeting]:[Prosumenten met terugdraaiende teller op LS]])</f>
        <v>#VALUE!</v>
      </c>
      <c r="M37" s="1198" t="e">
        <f>$M$22*(INDEX(Rekenvolumes[Afnameklanten op LS met piekmeting],12)+INDEX(Rekenvolumes[Afnameklanten op LS met piekmeting],13))+$M$23*INDEX(Rekenvolumes[Afnameklanten op LS met piekmeting],14)</f>
        <v>#VALUE!</v>
      </c>
      <c r="N37" s="1200" t="e">
        <f>$N$22*(INDEX(Rekenvolumes[Doorvoer op LS met piekmeting],12)+INDEX(Rekenvolumes[Doorvoer op LS met piekmeting],13))+$N$23*INDEX(Rekenvolumes[Doorvoer op LS met piekmeting],14)</f>
        <v>#VALUE!</v>
      </c>
      <c r="O37" s="1200" t="e">
        <f>$O$22*(INDEX(Rekenvolumes[Afnameklanten op LS met klassieke meter],12)+INDEX(Rekenvolumes[Afnameklanten op LS met klassieke meter],13))+$O$23*INDEX(Rekenvolumes[Afnameklanten op LS met klassieke meter],14)</f>
        <v>#VALUE!</v>
      </c>
      <c r="P37" s="1200" t="e">
        <f>$P$22*(INDEX(Rekenvolumes[Doorvoer op LS zonder piekmeting],12)+INDEX(Rekenvolumes[Doorvoer op LS zonder piekmeting],13))+$P$23*INDEX(Rekenvolumes[Doorvoer op LS zonder piekmeting],14)</f>
        <v>#VALUE!</v>
      </c>
      <c r="Q37" s="1234"/>
      <c r="R37" s="1205"/>
      <c r="S37" s="1205"/>
      <c r="T37" s="1205"/>
      <c r="U37" s="1205"/>
      <c r="V37" s="1205"/>
      <c r="W37" s="1208"/>
    </row>
    <row r="38" spans="1:23">
      <c r="A38" s="132" t="s">
        <v>9</v>
      </c>
      <c r="B38" s="1204" t="e">
        <f>SUM(Tabel4A[[#This Row],[Afnameklanten op TRHS (∑)]],Tabel4A[[#This Row],[Afnameklanten op MS (∑)]],Tabel4A[[#This Row],[Afnameklanten op TRLS (∑)]],Tabel4A[[#This Row],[Afnameklanten op LS (∑)]],Tabel4A[[#This Row],[Injectieklanten (∑)]])</f>
        <v>#VALUE!</v>
      </c>
      <c r="C38" s="1197" t="e">
        <f>SUM(Tabel4A[[#This Row],[Afnameklanten op TRHS]:[Afnameklanten op &gt;26-36 kV met AV ≥ 5MVA]])</f>
        <v>#VALUE!</v>
      </c>
      <c r="D38" s="1198" t="e">
        <f>$D$24*(INDEX(Rekenvolumes[Afnameklanten op TRHS],12)+INDEX(Rekenvolumes[Afnameklanten op TRHS],13)+INDEX(Rekenvolumes[Afnameklanten op TRHS],14))</f>
        <v>#VALUE!</v>
      </c>
      <c r="E38" s="1199" t="e">
        <f>$E$24*(INDEX(Rekenvolumes[Afnameklanten op &gt;26-36 kV met AV ≥ 5MVA],12)+INDEX(Rekenvolumes[Afnameklanten op &gt;26-36 kV met AV ≥ 5MVA],13)+INDEX(Rekenvolumes[Afnameklanten op &gt;26-36 kV met AV ≥ 5MVA],14))</f>
        <v>#VALUE!</v>
      </c>
      <c r="F38" s="1197" t="e">
        <f>SUM(Tabel4A[[#This Row],[Afnameklanten op &gt;26-36 kV met AV &lt; 5MVA]:[Doorvoer op 26-1kV]])</f>
        <v>#VALUE!</v>
      </c>
      <c r="G38" s="1198" t="e">
        <f>$G$24*(INDEX(Rekenvolumes[Afnameklanten op &gt;26-36 kV met AV &lt; 5MVA],12)+INDEX(Rekenvolumes[Afnameklanten op &gt;26-36 kV met AV &lt; 5MVA],13)+INDEX(Rekenvolumes[Afnameklanten op &gt;26-36 kV met AV &lt; 5MVA],14))</f>
        <v>#VALUE!</v>
      </c>
      <c r="H38" s="1200" t="e">
        <f>$H$24*(INDEX(Rekenvolumes[Afnameklanten op 26-1kV],12)+INDEX(Rekenvolumes[Afnameklanten op 26-1kV],13)+INDEX(Rekenvolumes[Afnameklanten op 26-1kV],14))</f>
        <v>#VALUE!</v>
      </c>
      <c r="I38" s="1199" t="e">
        <f>$I$24*(INDEX(Rekenvolumes[Doorvoer op 26-1kV],12)+INDEX(Rekenvolumes[Doorvoer op 26-1kV],13)+INDEX(Rekenvolumes[Doorvoer op 26-1kV],14))</f>
        <v>#VALUE!</v>
      </c>
      <c r="J38" s="1197" t="e">
        <f>SUM(Tabel4A[[#This Row],[Afnameklanten op TRLS]])</f>
        <v>#VALUE!</v>
      </c>
      <c r="K38" s="1198" t="e">
        <f>$K$24*(INDEX(Rekenvolumes[Afnameklanten op TRLS],12)+INDEX(Rekenvolumes[Afnameklanten op TRLS],13)+INDEX(Rekenvolumes[Afnameklanten op TRLS],14))</f>
        <v>#VALUE!</v>
      </c>
      <c r="L38" s="1197" t="e">
        <f>SUM(Tabel4A[[#This Row],[Afnameklanten op LS met piekmeting]:[Prosumenten met terugdraaiende teller op LS]])</f>
        <v>#VALUE!</v>
      </c>
      <c r="M38" s="1198" t="e">
        <f>$M$24*(INDEX(Rekenvolumes[Afnameklanten op LS met piekmeting],12)+INDEX(Rekenvolumes[Afnameklanten op LS met piekmeting],13)+INDEX(Rekenvolumes[Afnameklanten op LS met piekmeting],14))</f>
        <v>#VALUE!</v>
      </c>
      <c r="N38" s="1200" t="e">
        <f>$N$24*(INDEX(Rekenvolumes[Doorvoer op LS met piekmeting],12)+INDEX(Rekenvolumes[Doorvoer op LS met piekmeting],13)+INDEX(Rekenvolumes[Doorvoer op LS met piekmeting],14))</f>
        <v>#VALUE!</v>
      </c>
      <c r="O38" s="1200" t="e">
        <f>$O$24*(INDEX(Rekenvolumes[Afnameklanten op LS met klassieke meter],12)+INDEX(Rekenvolumes[Afnameklanten op LS met klassieke meter],13)+INDEX(Rekenvolumes[Afnameklanten op LS met klassieke meter],14))</f>
        <v>#VALUE!</v>
      </c>
      <c r="P38" s="1200" t="e">
        <f>$P24*(INDEX(Rekenvolumes[Doorvoer op LS zonder piekmeting],12)+INDEX(Rekenvolumes[Doorvoer op LS zonder piekmeting],13)+INDEX(Rekenvolumes[Doorvoer op LS zonder piekmeting],14))</f>
        <v>#VALUE!</v>
      </c>
      <c r="Q38" s="1234"/>
      <c r="R38" s="1205"/>
      <c r="S38" s="1205"/>
      <c r="T38" s="1205"/>
      <c r="U38" s="1205"/>
      <c r="V38" s="1205"/>
      <c r="W38" s="1208"/>
    </row>
    <row r="39" spans="1:23">
      <c r="A39" s="133" t="s">
        <v>86</v>
      </c>
      <c r="B39" s="1209"/>
      <c r="C39" s="1210"/>
      <c r="D39" s="1211"/>
      <c r="E39" s="1212"/>
      <c r="F39" s="1210"/>
      <c r="G39" s="1211"/>
      <c r="H39" s="1213"/>
      <c r="I39" s="1212"/>
      <c r="J39" s="1210"/>
      <c r="K39" s="1211"/>
      <c r="L39" s="1210"/>
      <c r="M39" s="1211"/>
      <c r="N39" s="1213"/>
      <c r="O39" s="1213"/>
      <c r="P39" s="1213"/>
      <c r="Q39" s="1234"/>
      <c r="R39" s="1205"/>
      <c r="S39" s="1205"/>
      <c r="T39" s="1205"/>
      <c r="U39" s="1205"/>
      <c r="V39" s="1205"/>
      <c r="W39" s="1208"/>
    </row>
    <row r="40" spans="1:23">
      <c r="A40" s="578" t="s">
        <v>560</v>
      </c>
      <c r="B40" s="1209" t="e">
        <f>SUM(Tabel4A[[#This Row],[Afnameklanten op TRHS (∑)]],Tabel4A[[#This Row],[Afnameklanten op MS (∑)]],Tabel4A[[#This Row],[Afnameklanten op TRLS (∑)]],Tabel4A[[#This Row],[Afnameklanten op LS (∑)]],Tabel4A[[#This Row],[Injectieklanten (∑)]])</f>
        <v>#DIV/0!</v>
      </c>
      <c r="C40" s="1210" t="e">
        <f>SUM(Tabel4A[[#This Row],[Afnameklanten op TRHS]:[Afnameklanten op &gt;26-36 kV met AV ≥ 5MVA]])</f>
        <v>#DIV/0!</v>
      </c>
      <c r="D40" s="1211" t="e">
        <f>$D$26*(INDEX(Rekenvolumes[Afnameklanten op TRHS],12)+INDEX(Rekenvolumes[Afnameklanten op TRHS],13)+INDEX(Rekenvolumes[Afnameklanten op TRHS],14))</f>
        <v>#DIV/0!</v>
      </c>
      <c r="E40" s="1212" t="e">
        <f>$E$26*(INDEX(Rekenvolumes[Afnameklanten op &gt;26-36 kV met AV ≥ 5MVA],12)+INDEX(Rekenvolumes[Afnameklanten op &gt;26-36 kV met AV ≥ 5MVA],13)+INDEX(Rekenvolumes[Afnameklanten op &gt;26-36 kV met AV ≥ 5MVA],14))</f>
        <v>#DIV/0!</v>
      </c>
      <c r="F40" s="1210" t="e">
        <f>SUM(Tabel4A[[#This Row],[Afnameklanten op &gt;26-36 kV met AV &lt; 5MVA]:[Doorvoer op 26-1kV]])</f>
        <v>#DIV/0!</v>
      </c>
      <c r="G40" s="1211" t="e">
        <f>$G$26*(INDEX(Rekenvolumes[Afnameklanten op &gt;26-36 kV met AV &lt; 5MVA],12)+INDEX(Rekenvolumes[Afnameklanten op &gt;26-36 kV met AV &lt; 5MVA],13)+INDEX(Rekenvolumes[Afnameklanten op &gt;26-36 kV met AV &lt; 5MVA],14))</f>
        <v>#DIV/0!</v>
      </c>
      <c r="H40" s="1213" t="e">
        <f>$H$26*(INDEX(Rekenvolumes[Afnameklanten op 26-1kV],12)+INDEX(Rekenvolumes[Afnameklanten op 26-1kV],13)+INDEX(Rekenvolumes[Afnameklanten op 26-1kV],14))</f>
        <v>#DIV/0!</v>
      </c>
      <c r="I40" s="1212" t="e">
        <f>$I$26*(INDEX(Rekenvolumes[Doorvoer op 26-1kV],12)+INDEX(Rekenvolumes[Doorvoer op 26-1kV],13)+INDEX(Rekenvolumes[Doorvoer op 26-1kV],14))</f>
        <v>#DIV/0!</v>
      </c>
      <c r="J40" s="1210" t="e">
        <f>SUM(Tabel4A[[#This Row],[Afnameklanten op TRLS]])</f>
        <v>#DIV/0!</v>
      </c>
      <c r="K40" s="1211" t="e">
        <f>$K$26*(INDEX(Rekenvolumes[Afnameklanten op TRLS],12)+INDEX(Rekenvolumes[Afnameklanten op TRLS],13)+INDEX(Rekenvolumes[Afnameklanten op TRLS],14))</f>
        <v>#DIV/0!</v>
      </c>
      <c r="L40" s="1210" t="e">
        <f>SUM(Tabel4A[[#This Row],[Afnameklanten op LS met piekmeting]:[Prosumenten met terugdraaiende teller op LS]])</f>
        <v>#DIV/0!</v>
      </c>
      <c r="M40" s="1211" t="e">
        <f>$M$26*(INDEX(Rekenvolumes[Afnameklanten op LS met piekmeting],12)+INDEX(Rekenvolumes[Afnameklanten op LS met piekmeting],13)+INDEX(Rekenvolumes[Afnameklanten op LS met piekmeting],14))</f>
        <v>#DIV/0!</v>
      </c>
      <c r="N40" s="1213" t="e">
        <f>$N$26*(INDEX(Rekenvolumes[Doorvoer op LS met piekmeting],12)+INDEX(Rekenvolumes[Doorvoer op LS met piekmeting],13)+INDEX(Rekenvolumes[Doorvoer op LS met piekmeting],14))</f>
        <v>#DIV/0!</v>
      </c>
      <c r="O40" s="1213" t="e">
        <f>$O$26*(INDEX(Rekenvolumes[Afnameklanten op LS met klassieke meter],12)+INDEX(Rekenvolumes[Afnameklanten op LS met klassieke meter],13)+INDEX(Rekenvolumes[Afnameklanten op LS met klassieke meter],14))</f>
        <v>#DIV/0!</v>
      </c>
      <c r="P40" s="1213" t="e">
        <f>$P$26*(INDEX(Rekenvolumes[Doorvoer op LS zonder piekmeting],12)+INDEX(Rekenvolumes[Doorvoer op LS zonder piekmeting],13)+INDEX(Rekenvolumes[Doorvoer op LS zonder piekmeting],14))</f>
        <v>#DIV/0!</v>
      </c>
      <c r="Q40" s="1234"/>
      <c r="R40" s="1205"/>
      <c r="S40" s="1205"/>
      <c r="T40" s="1205"/>
      <c r="U40" s="1205"/>
      <c r="V40" s="1205"/>
      <c r="W40" s="1208"/>
    </row>
    <row r="41" spans="1:23" ht="15.75" thickBot="1">
      <c r="A41" s="133" t="s">
        <v>322</v>
      </c>
      <c r="B41" s="1209" t="e">
        <f>SUM(Tabel4A[[#This Row],[Afnameklanten op TRHS (∑)]],Tabel4A[[#This Row],[Afnameklanten op MS (∑)]],Tabel4A[[#This Row],[Afnameklanten op TRLS (∑)]],Tabel4A[[#This Row],[Afnameklanten op LS (∑)]],Tabel4A[[#This Row],[Injectieklanten (∑)]])</f>
        <v>#DIV/0!</v>
      </c>
      <c r="C41" s="1210" t="e">
        <f>SUM(Tabel4A[[#This Row],[Afnameklanten op TRHS]:[Afnameklanten op &gt;26-36 kV met AV ≥ 5MVA]])</f>
        <v>#DIV/0!</v>
      </c>
      <c r="D41" s="1211" t="e">
        <f>$D$27*(INDEX(Rekenvolumes[Afnameklanten op TRHS],12)+INDEX(Rekenvolumes[Afnameklanten op TRHS],13)+INDEX(Rekenvolumes[Afnameklanten op TRHS],14))</f>
        <v>#DIV/0!</v>
      </c>
      <c r="E41" s="1212" t="e">
        <f>$E$27*(INDEX(Rekenvolumes[Afnameklanten op &gt;26-36 kV met AV ≥ 5MVA],12)+INDEX(Rekenvolumes[Afnameklanten op &gt;26-36 kV met AV ≥ 5MVA],13)+INDEX(Rekenvolumes[Afnameklanten op &gt;26-36 kV met AV ≥ 5MVA],14))</f>
        <v>#DIV/0!</v>
      </c>
      <c r="F41" s="1210" t="e">
        <f>SUM(Tabel4A[[#This Row],[Afnameklanten op &gt;26-36 kV met AV &lt; 5MVA]:[Doorvoer op 26-1kV]])</f>
        <v>#DIV/0!</v>
      </c>
      <c r="G41" s="1211" t="e">
        <f>$G$27*(INDEX(Rekenvolumes[Afnameklanten op &gt;26-36 kV met AV &lt; 5MVA],12)+INDEX(Rekenvolumes[Afnameklanten op &gt;26-36 kV met AV &lt; 5MVA],13)+INDEX(Rekenvolumes[Afnameklanten op &gt;26-36 kV met AV &lt; 5MVA],14))</f>
        <v>#DIV/0!</v>
      </c>
      <c r="H41" s="1213" t="e">
        <f>$H$27*(INDEX(Rekenvolumes[Afnameklanten op 26-1kV],12)+INDEX(Rekenvolumes[Afnameklanten op 26-1kV],13)+INDEX(Rekenvolumes[Afnameklanten op 26-1kV],14))</f>
        <v>#DIV/0!</v>
      </c>
      <c r="I41" s="1212" t="e">
        <f>$I$27*(INDEX(Rekenvolumes[Doorvoer op 26-1kV],12)+INDEX(Rekenvolumes[Doorvoer op 26-1kV],13)+INDEX(Rekenvolumes[Doorvoer op 26-1kV],14))</f>
        <v>#DIV/0!</v>
      </c>
      <c r="J41" s="1210" t="e">
        <f>SUM(Tabel4A[[#This Row],[Afnameklanten op TRLS]])</f>
        <v>#DIV/0!</v>
      </c>
      <c r="K41" s="1211" t="e">
        <f>$K$27*(INDEX(Rekenvolumes[Afnameklanten op TRLS],12)+INDEX(Rekenvolumes[Afnameklanten op TRLS],13)+INDEX(Rekenvolumes[Afnameklanten op TRLS],14))</f>
        <v>#DIV/0!</v>
      </c>
      <c r="L41" s="1210" t="e">
        <f>SUM(Tabel4A[[#This Row],[Afnameklanten op LS met piekmeting]:[Prosumenten met terugdraaiende teller op LS]])</f>
        <v>#DIV/0!</v>
      </c>
      <c r="M41" s="1211" t="e">
        <f>$M$27*(INDEX(Rekenvolumes[Afnameklanten op LS met piekmeting],12)+INDEX(Rekenvolumes[Afnameklanten op LS met piekmeting],13)+INDEX(Rekenvolumes[Afnameklanten op LS met piekmeting],14))</f>
        <v>#DIV/0!</v>
      </c>
      <c r="N41" s="1213" t="e">
        <f>$N$27*(INDEX(Rekenvolumes[Doorvoer op LS met piekmeting],12)+INDEX(Rekenvolumes[Doorvoer op LS met piekmeting],13)+INDEX(Rekenvolumes[Doorvoer op LS met piekmeting],14))</f>
        <v>#DIV/0!</v>
      </c>
      <c r="O41" s="1213" t="e">
        <f>$O$27*(INDEX(Rekenvolumes[Afnameklanten op LS met klassieke meter],12)+INDEX(Rekenvolumes[Afnameklanten op LS met klassieke meter],13)+INDEX(Rekenvolumes[Afnameklanten op LS met klassieke meter],14))</f>
        <v>#DIV/0!</v>
      </c>
      <c r="P41" s="1213" t="e">
        <f>$P$27*(INDEX(Rekenvolumes[Doorvoer op LS zonder piekmeting],12)+INDEX(Rekenvolumes[Doorvoer op LS zonder piekmeting],13)+INDEX(Rekenvolumes[Doorvoer op LS zonder piekmeting],14))</f>
        <v>#DIV/0!</v>
      </c>
      <c r="Q41" s="1234"/>
      <c r="R41" s="1205"/>
      <c r="S41" s="1205"/>
      <c r="T41" s="1205"/>
      <c r="U41" s="1205"/>
      <c r="V41" s="1205"/>
      <c r="W41" s="1208"/>
    </row>
    <row r="42" spans="1:23" ht="15.75" thickBot="1">
      <c r="A42" s="348" t="s">
        <v>11</v>
      </c>
      <c r="B42" s="1214" t="e">
        <f>SUBTOTAL(109,Tabel4A[Totale budget])</f>
        <v>#DIV/0!</v>
      </c>
      <c r="C42" s="1215" t="e">
        <f>SUBTOTAL(109,Tabel4A[Afnameklanten op TRHS (∑)])</f>
        <v>#DIV/0!</v>
      </c>
      <c r="D42" s="1216" t="e">
        <f>SUBTOTAL(109,Tabel4A[Afnameklanten op TRHS])</f>
        <v>#DIV/0!</v>
      </c>
      <c r="E42" s="1217" t="e">
        <f>SUBTOTAL(109,Tabel4A[Afnameklanten op &gt;26-36 kV met AV ≥ 5MVA])</f>
        <v>#DIV/0!</v>
      </c>
      <c r="F42" s="1218" t="e">
        <f>SUBTOTAL(109,Tabel4A[Afnameklanten op MS (∑)])</f>
        <v>#VALUE!</v>
      </c>
      <c r="G42" s="1216" t="e">
        <f>SUBTOTAL(109,Tabel4A[Afnameklanten op &gt;26-36 kV met AV &lt; 5MVA])</f>
        <v>#VALUE!</v>
      </c>
      <c r="H42" s="1219" t="e">
        <f>SUBTOTAL(109,Tabel4A[Afnameklanten op 26-1kV])</f>
        <v>#VALUE!</v>
      </c>
      <c r="I42" s="1217" t="e">
        <f>SUBTOTAL(109,Tabel4A[Doorvoer op 26-1kV])</f>
        <v>#VALUE!</v>
      </c>
      <c r="J42" s="1218" t="e">
        <f>SUBTOTAL(109,Tabel4A[Afnameklanten op TRLS (∑)])</f>
        <v>#VALUE!</v>
      </c>
      <c r="K42" s="1216" t="e">
        <f>SUBTOTAL(109,Tabel4A[Afnameklanten op TRLS])</f>
        <v>#VALUE!</v>
      </c>
      <c r="L42" s="1220" t="e">
        <f>SUBTOTAL(109,Tabel4A[Afnameklanten op LS (∑)])</f>
        <v>#DIV/0!</v>
      </c>
      <c r="M42" s="1216" t="e">
        <f>SUBTOTAL(109,Tabel4A[Afnameklanten op LS met piekmeting])</f>
        <v>#DIV/0!</v>
      </c>
      <c r="N42" s="1219" t="e">
        <f>SUBTOTAL(109,Tabel4A[Doorvoer op LS met piekmeting])</f>
        <v>#DIV/0!</v>
      </c>
      <c r="O42" s="1220" t="e">
        <f>SUBTOTAL(109,Tabel4A[Afnameklanten op LS met klassieke meter])</f>
        <v>#DIV/0!</v>
      </c>
      <c r="P42" s="1220" t="e">
        <f>SUBTOTAL(109,Tabel4A[Doorvoer op LS zonder piekmeting])</f>
        <v>#DIV/0!</v>
      </c>
      <c r="Q42" s="1217" t="e">
        <f>SUBTOTAL(109,Tabel4A[Prosumenten met terugdraaiende teller op LS])</f>
        <v>#DIV/0!</v>
      </c>
      <c r="R42" s="1221" t="e">
        <f>SUBTOTAL(109,Tabel4A[Injectieklanten (∑)])</f>
        <v>#VALUE!</v>
      </c>
      <c r="S42" s="1214" t="e">
        <f>SUBTOTAL(109,Tabel4A[Injectieklanten op TRHS])</f>
        <v>#VALUE!</v>
      </c>
      <c r="T42" s="1214" t="e">
        <f>SUBTOTAL(109,Tabel4A[Injectieklanten  op &gt;26-36kV])</f>
        <v>#VALUE!</v>
      </c>
      <c r="U42" s="1214" t="e">
        <f>SUBTOTAL(109,Tabel4A[Injectieklanten op 26-1kV])</f>
        <v>#VALUE!</v>
      </c>
      <c r="V42" s="1214" t="e">
        <f>SUBTOTAL(109,Tabel4A[Injectieklanten op TRLS])</f>
        <v>#VALUE!</v>
      </c>
      <c r="W42" s="1222" t="e">
        <f>SUBTOTAL(109,Tabel4A[Injectieklanten op LS])</f>
        <v>#VALUE!</v>
      </c>
    </row>
  </sheetData>
  <sheetProtection algorithmName="SHA-512" hashValue="o0sUFfca4QaKLTIglgayIxkgR1IbnHF67muMMFbJ1R04VIFmu5Lc8zSqnkPIygFYxUQbILgk0dbMGk5Dr9G0Hg==" saltValue="wBxhn3D3+cDcyZAZglHYYQ==" spinCount="100000" sheet="1" objects="1" scenarios="1"/>
  <mergeCells count="2">
    <mergeCell ref="E4:F4"/>
    <mergeCell ref="A1:J1"/>
  </mergeCells>
  <pageMargins left="0.7" right="0.7" top="0.75" bottom="0.75" header="0.3" footer="0.3"/>
  <pageSetup paperSize="9" orientation="portrait" r:id="rId1"/>
  <tableParts count="2">
    <tablePart r:id="rId2"/>
    <tablePart r:id="rId3"/>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2B2D77-B143-4ABF-B05E-31A28EE4B215}">
  <sheetPr published="0">
    <tabColor rgb="FFD8E4BC"/>
  </sheetPr>
  <dimension ref="A1"/>
  <sheetViews>
    <sheetView workbookViewId="0"/>
  </sheetViews>
  <sheetFormatPr defaultRowHeight="15"/>
  <sheetData/>
  <sheetProtection algorithmName="SHA-512" hashValue="uTi2LO/GcGsgCjbT00K0K8Yv6xmJVcBc/5MMu4KH1xmVuYXSYKnxpmfeW9iU6zbQu2BsOhM34BNFfYDhl+E8oQ==" saltValue="pq5ZHpaK2tjy3tVppEvtyw==" spinCount="100000" sheet="1" objects="1" scenarios="1"/>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FC920E-3255-4C0C-A4EE-0A10E895BCD9}">
  <sheetPr>
    <pageSetUpPr fitToPage="1"/>
  </sheetPr>
  <dimension ref="A1:AF26"/>
  <sheetViews>
    <sheetView zoomScaleNormal="100" workbookViewId="0">
      <selection activeCell="D4" sqref="D4:E4"/>
    </sheetView>
  </sheetViews>
  <sheetFormatPr defaultColWidth="10.7109375" defaultRowHeight="15" customHeight="1"/>
  <cols>
    <col min="1" max="2" width="5.7109375" style="909" customWidth="1"/>
    <col min="3" max="3" width="50.7109375" style="909" customWidth="1"/>
    <col min="4" max="4" width="20.7109375" style="909" customWidth="1"/>
    <col min="5" max="5" width="10.7109375" style="909" customWidth="1"/>
    <col min="6" max="6" width="20.7109375" style="909" customWidth="1"/>
    <col min="7" max="7" width="10.7109375" style="909" customWidth="1"/>
    <col min="8" max="8" width="20.7109375" style="909" customWidth="1"/>
    <col min="9" max="9" width="10.7109375" style="909" customWidth="1"/>
    <col min="10" max="10" width="20.7109375" style="909" customWidth="1"/>
    <col min="11" max="11" width="10.7109375" style="909" customWidth="1"/>
    <col min="12" max="12" width="20.7109375" style="909" customWidth="1"/>
    <col min="13" max="256" width="10.7109375" style="909" customWidth="1"/>
    <col min="257" max="16384" width="10.7109375" style="909"/>
  </cols>
  <sheetData>
    <row r="1" spans="1:32" ht="30" customHeight="1" thickBot="1">
      <c r="A1" s="1425" t="s">
        <v>385</v>
      </c>
      <c r="B1" s="1426"/>
      <c r="C1" s="1426"/>
      <c r="D1" s="1426"/>
      <c r="E1" s="1426"/>
      <c r="F1" s="1426"/>
      <c r="G1" s="1426"/>
      <c r="H1" s="1426"/>
      <c r="I1" s="1426"/>
      <c r="J1" s="1426"/>
      <c r="K1" s="1426"/>
      <c r="L1" s="1494"/>
    </row>
    <row r="3" spans="1:32" ht="15" customHeight="1" thickBot="1"/>
    <row r="4" spans="1:32" s="3" customFormat="1" ht="20.25" customHeight="1" thickBot="1">
      <c r="B4" s="43"/>
      <c r="C4" s="42" t="s">
        <v>6</v>
      </c>
      <c r="D4" s="1434" t="str">
        <f>DNB</f>
        <v>Naam distributienetbeheerder</v>
      </c>
      <c r="E4" s="1436"/>
      <c r="F4" s="910"/>
      <c r="G4" s="42"/>
      <c r="H4" s="58"/>
      <c r="I4" s="44"/>
      <c r="J4" s="44"/>
      <c r="K4" s="44"/>
      <c r="L4" s="44"/>
      <c r="M4" s="44"/>
      <c r="N4" s="44"/>
      <c r="O4" s="44"/>
      <c r="P4" s="44"/>
      <c r="Q4" s="44"/>
      <c r="R4" s="44"/>
      <c r="S4" s="44"/>
      <c r="T4" s="44"/>
      <c r="U4" s="44"/>
      <c r="V4" s="44"/>
      <c r="W4" s="44"/>
      <c r="X4" s="44"/>
      <c r="Y4" s="44"/>
      <c r="Z4" s="44"/>
      <c r="AA4" s="44"/>
      <c r="AB4" s="44"/>
      <c r="AC4" s="44"/>
      <c r="AD4" s="44"/>
      <c r="AE4" s="44"/>
      <c r="AF4" s="45"/>
    </row>
    <row r="6" spans="1:32" ht="15" customHeight="1" thickBot="1"/>
    <row r="7" spans="1:32" ht="15" customHeight="1">
      <c r="A7" s="1567" t="s">
        <v>82</v>
      </c>
      <c r="B7" s="1568"/>
      <c r="C7" s="1568"/>
      <c r="D7" s="1560" t="s">
        <v>524</v>
      </c>
      <c r="E7" s="1561"/>
      <c r="F7" s="1561"/>
      <c r="G7" s="1562"/>
      <c r="H7" s="1560" t="s">
        <v>525</v>
      </c>
      <c r="I7" s="1561"/>
      <c r="J7" s="1561"/>
      <c r="K7" s="1562"/>
      <c r="L7" s="104" t="s">
        <v>24</v>
      </c>
    </row>
    <row r="8" spans="1:32" ht="15" customHeight="1">
      <c r="A8" s="1569"/>
      <c r="B8" s="1570"/>
      <c r="C8" s="1570"/>
      <c r="D8" s="1558" t="s">
        <v>166</v>
      </c>
      <c r="E8" s="1559"/>
      <c r="F8" s="1558" t="s">
        <v>167</v>
      </c>
      <c r="G8" s="1559"/>
      <c r="H8" s="1558" t="s">
        <v>166</v>
      </c>
      <c r="I8" s="1559"/>
      <c r="J8" s="1558" t="s">
        <v>167</v>
      </c>
      <c r="K8" s="1559"/>
      <c r="L8" s="567"/>
    </row>
    <row r="9" spans="1:32" ht="15" customHeight="1" thickBot="1">
      <c r="A9" s="1571"/>
      <c r="B9" s="1572"/>
      <c r="C9" s="1572"/>
      <c r="D9" s="105" t="s">
        <v>26</v>
      </c>
      <c r="E9" s="106" t="s">
        <v>20</v>
      </c>
      <c r="F9" s="105"/>
      <c r="G9" s="106"/>
      <c r="H9" s="105"/>
      <c r="I9" s="106"/>
      <c r="J9" s="105" t="s">
        <v>26</v>
      </c>
      <c r="K9" s="106" t="s">
        <v>20</v>
      </c>
      <c r="L9" s="107" t="s">
        <v>26</v>
      </c>
    </row>
    <row r="10" spans="1:32" ht="15" customHeight="1">
      <c r="A10" s="911"/>
      <c r="B10" s="912"/>
      <c r="C10" s="912"/>
      <c r="D10" s="913"/>
      <c r="E10" s="914"/>
      <c r="F10" s="913"/>
      <c r="G10" s="914"/>
      <c r="H10" s="913"/>
      <c r="I10" s="914"/>
      <c r="J10" s="913"/>
      <c r="K10" s="914"/>
      <c r="L10" s="915"/>
    </row>
    <row r="11" spans="1:32" ht="20.25" customHeight="1">
      <c r="A11" s="916" t="s">
        <v>372</v>
      </c>
      <c r="B11" s="917" t="s">
        <v>371</v>
      </c>
      <c r="C11" s="917"/>
      <c r="D11" s="918">
        <f>'T6'!$D$12+'T6'!$G$12+'T6'!$J$12+'T6'!$M$12</f>
        <v>0</v>
      </c>
      <c r="E11" s="919" t="str">
        <f>IF(ISNUMBER($D11/($D11+$F11)),ROUND($D11/($D11+$F11),2),"")</f>
        <v/>
      </c>
      <c r="F11" s="918">
        <f>'T6'!$E$12+'T6'!$H$12+'T6'!$K$12+'T6'!$N$12</f>
        <v>0</v>
      </c>
      <c r="G11" s="919" t="str">
        <f>IF(ISNUMBER($F11/($D11+$F11)),ROUND($F11/($D11+$F11),2),"")</f>
        <v/>
      </c>
      <c r="H11" s="918">
        <f>'T6'!$P$12</f>
        <v>0</v>
      </c>
      <c r="I11" s="919" t="str">
        <f>IF(ISNUMBER($H11/($H11+$J11)),ROUND($H11/($H11+$J11),2),"")</f>
        <v/>
      </c>
      <c r="J11" s="918">
        <f>'T6'!$Q$12</f>
        <v>0</v>
      </c>
      <c r="K11" s="919" t="str">
        <f>IF(ISNUMBER($J11/($H11+$J11)),ROUND($J11/($H11+$J11),2),"")</f>
        <v/>
      </c>
      <c r="L11" s="920">
        <f>SUM($D11,$F11,$H11,$J11)</f>
        <v>0</v>
      </c>
    </row>
    <row r="12" spans="1:32" s="13" customFormat="1" ht="15" customHeight="1">
      <c r="A12" s="921"/>
      <c r="B12" s="922"/>
      <c r="C12" s="922"/>
      <c r="D12" s="923"/>
      <c r="E12" s="924"/>
      <c r="F12" s="923"/>
      <c r="G12" s="924"/>
      <c r="H12" s="923"/>
      <c r="I12" s="924"/>
      <c r="J12" s="923"/>
      <c r="K12" s="924"/>
      <c r="L12" s="925"/>
    </row>
    <row r="13" spans="1:32" ht="20.25" customHeight="1">
      <c r="A13" s="926"/>
      <c r="B13" s="922" t="s">
        <v>370</v>
      </c>
      <c r="C13" s="922" t="s">
        <v>369</v>
      </c>
      <c r="D13" s="923">
        <f>'T6'!$D$14+'T6'!$G$14+'T6'!$J$14+'T6'!$M$14</f>
        <v>0</v>
      </c>
      <c r="E13" s="919" t="str">
        <f>IF(ISNUMBER($D13/($D13+$F13)),ROUND($D13/($D13+$F13),2),"")</f>
        <v/>
      </c>
      <c r="F13" s="927">
        <f>'T6'!$E$14+'T6'!$H$14+'T6'!$K$14+'T6'!$N$14</f>
        <v>0</v>
      </c>
      <c r="G13" s="919" t="str">
        <f>IF(ISNUMBER($F13/($D13+$F13)),ROUND($F13/($D13+$F13),2),"")</f>
        <v/>
      </c>
      <c r="H13" s="927">
        <f>'T6'!$P$14</f>
        <v>0</v>
      </c>
      <c r="I13" s="919" t="str">
        <f>IF(ISNUMBER($H13/($H13+$J13)),ROUND($H13/($H13+$J13),2),"")</f>
        <v/>
      </c>
      <c r="J13" s="927">
        <f>'T6'!$Q$14</f>
        <v>0</v>
      </c>
      <c r="K13" s="919" t="str">
        <f>IF(ISNUMBER($J13/($H13+$J13)),ROUND($J13/($H13+$J13),2),"")</f>
        <v/>
      </c>
      <c r="L13" s="925">
        <f>SUM($D13,$F13,$H13,$J13)</f>
        <v>0</v>
      </c>
    </row>
    <row r="14" spans="1:32" ht="15" customHeight="1">
      <c r="A14" s="921"/>
      <c r="B14" s="922"/>
      <c r="C14" s="922"/>
      <c r="D14" s="928"/>
      <c r="E14" s="924"/>
      <c r="F14" s="928"/>
      <c r="G14" s="924"/>
      <c r="H14" s="928"/>
      <c r="I14" s="924"/>
      <c r="J14" s="928"/>
      <c r="K14" s="924"/>
      <c r="L14" s="929"/>
    </row>
    <row r="15" spans="1:32" ht="20.25" customHeight="1">
      <c r="A15" s="926"/>
      <c r="B15" s="922" t="s">
        <v>368</v>
      </c>
      <c r="C15" s="922" t="s">
        <v>367</v>
      </c>
      <c r="D15" s="927">
        <f>'T6'!$D$16+'T6'!$G$16+'T6'!$J$16+'T6'!$M$16</f>
        <v>0</v>
      </c>
      <c r="E15" s="919" t="str">
        <f>IF(ISNUMBER($D15/($D15+$F15)),ROUND($D15/($D15+$F15),2),"")</f>
        <v/>
      </c>
      <c r="F15" s="927">
        <f>'T6'!$E$16+'T6'!$H$16+'T6'!$K$16+'T6'!$N$16</f>
        <v>0</v>
      </c>
      <c r="G15" s="919" t="str">
        <f>IF(ISNUMBER($F15/($D15+$F15)),ROUND($F15/($D15+$F15),2),"")</f>
        <v/>
      </c>
      <c r="H15" s="927">
        <f>'T6'!$P$16</f>
        <v>0</v>
      </c>
      <c r="I15" s="919" t="str">
        <f>IF(ISNUMBER($H15/($H15+$J15)),ROUND($H15/($H15+$J15),2),"")</f>
        <v/>
      </c>
      <c r="J15" s="927">
        <f>'T6'!$Q$16</f>
        <v>0</v>
      </c>
      <c r="K15" s="919" t="str">
        <f>IF(ISNUMBER($J15/($H15+$J15)),ROUND($J15/($H15+$J15),2),"")</f>
        <v/>
      </c>
      <c r="L15" s="925">
        <f>SUM($D15,$F15,$H15,$J15)</f>
        <v>0</v>
      </c>
    </row>
    <row r="16" spans="1:32" ht="15" customHeight="1">
      <c r="A16" s="921"/>
      <c r="B16" s="922"/>
      <c r="C16" s="922"/>
      <c r="D16" s="928"/>
      <c r="E16" s="924"/>
      <c r="F16" s="928"/>
      <c r="G16" s="924"/>
      <c r="H16" s="928"/>
      <c r="I16" s="924"/>
      <c r="J16" s="928"/>
      <c r="K16" s="924"/>
      <c r="L16" s="929"/>
    </row>
    <row r="17" spans="1:12" ht="20.25" customHeight="1">
      <c r="A17" s="926"/>
      <c r="B17" s="922" t="s">
        <v>366</v>
      </c>
      <c r="C17" s="930" t="s">
        <v>365</v>
      </c>
      <c r="D17" s="927">
        <f>'T6'!$D$18+'T6'!$G$18+'T6'!$J$18+'T6'!$M$18</f>
        <v>0</v>
      </c>
      <c r="E17" s="919" t="str">
        <f>IF(ISNUMBER($D17/($D17+$F17)),ROUND($D17/($D17+$F17),2),"")</f>
        <v/>
      </c>
      <c r="F17" s="927">
        <f>'T6'!$E$18+'T6'!$H$18+'T6'!$K$18+'T6'!$N$18</f>
        <v>0</v>
      </c>
      <c r="G17" s="919" t="str">
        <f>IF(ISNUMBER($F17/($D17+$F17)),ROUND($F17/($D17+$F17),2),"")</f>
        <v/>
      </c>
      <c r="H17" s="927">
        <f>'T6'!$P$18</f>
        <v>0</v>
      </c>
      <c r="I17" s="919" t="str">
        <f>IF(ISNUMBER($H17/($H17+$J17)),ROUND($H17/($H17+$J17),2),"")</f>
        <v/>
      </c>
      <c r="J17" s="927">
        <f>'T6'!$Q$18</f>
        <v>0</v>
      </c>
      <c r="K17" s="919" t="str">
        <f>IF(ISNUMBER($J17/($H17+$J17)),ROUND($J17/($H17+$J17),2),"")</f>
        <v/>
      </c>
      <c r="L17" s="925">
        <f>SUM($D17,$F17,$H17,$J17)</f>
        <v>0</v>
      </c>
    </row>
    <row r="18" spans="1:12" ht="15" customHeight="1">
      <c r="A18" s="921"/>
      <c r="B18" s="922"/>
      <c r="C18" s="922"/>
      <c r="D18" s="928"/>
      <c r="E18" s="924"/>
      <c r="F18" s="928"/>
      <c r="G18" s="924"/>
      <c r="H18" s="928"/>
      <c r="I18" s="924"/>
      <c r="J18" s="928"/>
      <c r="K18" s="924"/>
      <c r="L18" s="929"/>
    </row>
    <row r="19" spans="1:12" ht="20.25" customHeight="1">
      <c r="A19" s="916" t="s">
        <v>364</v>
      </c>
      <c r="B19" s="917" t="s">
        <v>363</v>
      </c>
      <c r="C19" s="917"/>
      <c r="D19" s="931">
        <f>'T6'!$D$20+'T6'!$G$20+'T6'!$J$20+'T6'!$M$20</f>
        <v>0</v>
      </c>
      <c r="E19" s="919" t="str">
        <f>IF(ISNUMBER($D19/($D19+$F19)),ROUND($D19/($D19+$F19),2),"")</f>
        <v/>
      </c>
      <c r="F19" s="931">
        <f>'T6'!$E$20+'T6'!$H$20+'T6'!$K$20+'T6'!$N$20</f>
        <v>0</v>
      </c>
      <c r="G19" s="919" t="str">
        <f>IF(ISNUMBER($F19/($D19+$F19)),ROUND($F19/($D19+$F19),2),"")</f>
        <v/>
      </c>
      <c r="H19" s="931">
        <f>'T6'!$P$20</f>
        <v>0</v>
      </c>
      <c r="I19" s="919" t="str">
        <f>IF(ISNUMBER($H19/($H19+$J19)),ROUND($H19/($H19+$J19),2),"")</f>
        <v/>
      </c>
      <c r="J19" s="931">
        <f>'T6'!$Q$20</f>
        <v>0</v>
      </c>
      <c r="K19" s="919" t="str">
        <f>IF(ISNUMBER($J19/($H19+$J19)),ROUND($J19/($H19+$J19),2),"")</f>
        <v/>
      </c>
      <c r="L19" s="920">
        <f>SUM($D19,$F19,$H19,$J19)</f>
        <v>0</v>
      </c>
    </row>
    <row r="20" spans="1:12" ht="15" customHeight="1">
      <c r="A20" s="921"/>
      <c r="B20" s="922"/>
      <c r="C20" s="922"/>
      <c r="D20" s="928"/>
      <c r="E20" s="924"/>
      <c r="F20" s="928"/>
      <c r="G20" s="924"/>
      <c r="H20" s="928"/>
      <c r="I20" s="924"/>
      <c r="J20" s="928"/>
      <c r="K20" s="924"/>
      <c r="L20" s="929"/>
    </row>
    <row r="21" spans="1:12" ht="20.25" customHeight="1">
      <c r="A21" s="916" t="s">
        <v>362</v>
      </c>
      <c r="B21" s="917" t="s">
        <v>9</v>
      </c>
      <c r="C21" s="917"/>
      <c r="D21" s="932">
        <f>'T6'!$D$22+'T6'!$G$22+'T6'!$J$22+'T6'!$M$22</f>
        <v>0</v>
      </c>
      <c r="E21" s="919" t="str">
        <f>IF(ISNUMBER($D21/($D21+$F21)),ROUND($D21/($D21+$F21),2),"")</f>
        <v/>
      </c>
      <c r="F21" s="932">
        <f>'T6'!$E$22+'T6'!$H$22+'T6'!$K$22+'T6'!$N$22</f>
        <v>0</v>
      </c>
      <c r="G21" s="919" t="str">
        <f>IF(ISNUMBER($F21/($D21+$F21)),ROUND($F21/($D21+$F21),2),"")</f>
        <v/>
      </c>
      <c r="H21" s="932">
        <f>'T6'!$P$22</f>
        <v>0</v>
      </c>
      <c r="I21" s="919" t="str">
        <f>IF(ISNUMBER($H21/($H21+$J21)),ROUND($H21/($H21+$J21),2),"")</f>
        <v/>
      </c>
      <c r="J21" s="932">
        <f>'T6'!$Q$22</f>
        <v>0</v>
      </c>
      <c r="K21" s="919" t="str">
        <f>IF(ISNUMBER($J21/($H21+$J21)),ROUND($J21/($H21+$J21),2),"")</f>
        <v/>
      </c>
      <c r="L21" s="920">
        <f>SUM($D21,$F21,$H21,$J21)</f>
        <v>0</v>
      </c>
    </row>
    <row r="22" spans="1:12" ht="15" customHeight="1">
      <c r="A22" s="921"/>
      <c r="B22" s="922"/>
      <c r="C22" s="922"/>
      <c r="D22" s="932"/>
      <c r="E22" s="919"/>
      <c r="F22" s="932"/>
      <c r="G22" s="919"/>
      <c r="H22" s="932"/>
      <c r="I22" s="919"/>
      <c r="J22" s="932"/>
      <c r="K22" s="919"/>
      <c r="L22" s="920"/>
    </row>
    <row r="23" spans="1:12" ht="20.25" customHeight="1">
      <c r="A23" s="926"/>
      <c r="B23" s="922" t="s">
        <v>361</v>
      </c>
      <c r="C23" s="922" t="s">
        <v>360</v>
      </c>
      <c r="D23" s="927">
        <f>'T6'!$D$24+'T6'!$G$24+'T6'!$J$24+'T6'!$M$24</f>
        <v>0</v>
      </c>
      <c r="E23" s="919" t="str">
        <f>IF(ISNUMBER($D23/($D23+$F23)),ROUND($D23/($D23+$F23),2),"")</f>
        <v/>
      </c>
      <c r="F23" s="927">
        <f>'T6'!$E$24+'T6'!$H$24+'T6'!$K$24+'T6'!$N$24</f>
        <v>0</v>
      </c>
      <c r="G23" s="919" t="str">
        <f>IF(ISNUMBER($F23/($D23+$F23)),ROUND($F23/($D23+$F23),2),"")</f>
        <v/>
      </c>
      <c r="H23" s="927">
        <f>'T6'!$P$24</f>
        <v>0</v>
      </c>
      <c r="I23" s="919" t="str">
        <f>IF(ISNUMBER($H23/($H23+$J23)),ROUND($H23/($H23+$J23),2),"")</f>
        <v/>
      </c>
      <c r="J23" s="927">
        <f>'T6'!$Q$24</f>
        <v>0</v>
      </c>
      <c r="K23" s="919" t="str">
        <f>IF(ISNUMBER($J23/($H23+$J23)),ROUND($J23/($H23+$J23),2),"")</f>
        <v/>
      </c>
      <c r="L23" s="925">
        <f>SUM($D23,$F23,$H23,$J23)</f>
        <v>0</v>
      </c>
    </row>
    <row r="24" spans="1:12" ht="20.25" customHeight="1">
      <c r="A24" s="926"/>
      <c r="B24" s="922" t="s">
        <v>359</v>
      </c>
      <c r="C24" s="930" t="s">
        <v>358</v>
      </c>
      <c r="D24" s="927">
        <f>'T6'!$D$25+'T6'!$G$25+'T6'!$J$25+'T6'!$M$25</f>
        <v>0</v>
      </c>
      <c r="E24" s="919" t="str">
        <f>IF(ISNUMBER($D24/($D24+$F24)),ROUND($D24/($D24+$F24),2),"")</f>
        <v/>
      </c>
      <c r="F24" s="927">
        <f>'T6'!$E$25+'T6'!$H$25+'T6'!$K$25+'T6'!$N$25</f>
        <v>0</v>
      </c>
      <c r="G24" s="919" t="str">
        <f>IF(ISNUMBER($F24/($D24+$F24)),ROUND($F24/($D24+$F24),2),"")</f>
        <v/>
      </c>
      <c r="H24" s="927">
        <f>'T6'!$P$25</f>
        <v>0</v>
      </c>
      <c r="I24" s="919" t="str">
        <f>IF(ISNUMBER($H24/($H24+$J24)),ROUND($H24/($H24+$J24),2),"")</f>
        <v/>
      </c>
      <c r="J24" s="927">
        <f>'T6'!$Q$25</f>
        <v>0</v>
      </c>
      <c r="K24" s="919" t="str">
        <f>IF(ISNUMBER($J24/($H24+$J24)),ROUND($J24/($H24+$J24),2),"")</f>
        <v/>
      </c>
      <c r="L24" s="925">
        <f>SUM($D24,$F24,$H24,$J24)</f>
        <v>0</v>
      </c>
    </row>
    <row r="25" spans="1:12" ht="15" customHeight="1" thickBot="1">
      <c r="A25" s="933"/>
      <c r="B25" s="934"/>
      <c r="C25" s="934"/>
      <c r="D25" s="935"/>
      <c r="E25" s="936"/>
      <c r="F25" s="935"/>
      <c r="G25" s="936"/>
      <c r="H25" s="935"/>
      <c r="I25" s="936"/>
      <c r="J25" s="935"/>
      <c r="K25" s="936"/>
      <c r="L25" s="937"/>
    </row>
    <row r="26" spans="1:12" ht="20.25" customHeight="1" thickBot="1">
      <c r="A26" s="938"/>
      <c r="B26" s="939" t="s">
        <v>11</v>
      </c>
      <c r="C26" s="940"/>
      <c r="D26" s="941">
        <f>SUM($D$21,$D$19,$D$11)</f>
        <v>0</v>
      </c>
      <c r="E26" s="942" t="str">
        <f>IF(ISNUMBER($D26/($D26+$F26)),ROUND($D26/($D26+$F26),2),"")</f>
        <v/>
      </c>
      <c r="F26" s="941">
        <f>SUM($F$21,$F$19,$F$11)</f>
        <v>0</v>
      </c>
      <c r="G26" s="942" t="str">
        <f>IF(ISNUMBER($F26/($D26+$F26)),ROUND($F26/($D26+$F26),2),"")</f>
        <v/>
      </c>
      <c r="H26" s="941">
        <f>SUM($H$21,$H$19,$H$11)</f>
        <v>0</v>
      </c>
      <c r="I26" s="942" t="str">
        <f>IF(ISNUMBER($H26/($H26+$J26)),ROUND($H26/($H26+$J26),2),"")</f>
        <v/>
      </c>
      <c r="J26" s="941">
        <f>SUM($J$21,$J$19,$J$11)</f>
        <v>0</v>
      </c>
      <c r="K26" s="942" t="str">
        <f>IF(ISNUMBER($J26/($H26+$J26)),ROUND($J26/($H26+$J26),2),"")</f>
        <v/>
      </c>
      <c r="L26" s="943">
        <f>SUM($L$21,$L$19,$L$11)</f>
        <v>0</v>
      </c>
    </row>
  </sheetData>
  <sheetProtection algorithmName="SHA-512" hashValue="Fi9bkHKqtjZNVvSIYJOwj+uB90A0L4v01DEfypk6+qLHAiCkrYWUfBa0qHKxusjXZtNrlKdq4gGAj6k8gA1x6g==" saltValue="hKFfTYrzUtz6p8V9AI9ShQ==" spinCount="100000" sheet="1" objects="1" scenarios="1"/>
  <mergeCells count="9">
    <mergeCell ref="A1:L1"/>
    <mergeCell ref="D4:E4"/>
    <mergeCell ref="A7:C9"/>
    <mergeCell ref="D7:G7"/>
    <mergeCell ref="H7:K7"/>
    <mergeCell ref="D8:E8"/>
    <mergeCell ref="F8:G8"/>
    <mergeCell ref="H8:I8"/>
    <mergeCell ref="J8:K8"/>
  </mergeCells>
  <pageMargins left="0.19685039370078741" right="0.19685039370078741" top="0.39370078740157483" bottom="0.39370078740157483" header="0.51181102362204722" footer="0.19685039370078741"/>
  <pageSetup paperSize="8" orientation="landscape" r:id="rId1"/>
  <headerFooter alignWithMargins="0">
    <oddFooter>&amp;C&amp;8&amp;F&amp;R&amp;8&amp;A</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C8593C-941D-45CA-B25C-54E51825849F}">
  <sheetPr>
    <pageSetUpPr fitToPage="1"/>
  </sheetPr>
  <dimension ref="A1:BB35"/>
  <sheetViews>
    <sheetView zoomScaleNormal="100" workbookViewId="0">
      <selection activeCell="D4" sqref="D4:E4"/>
    </sheetView>
  </sheetViews>
  <sheetFormatPr defaultColWidth="10.7109375" defaultRowHeight="15" customHeight="1"/>
  <cols>
    <col min="1" max="2" width="5.7109375" style="909" customWidth="1"/>
    <col min="3" max="3" width="50.7109375" style="909" customWidth="1"/>
    <col min="4" max="18" width="20.7109375" style="909" customWidth="1"/>
    <col min="19" max="16384" width="10.7109375" style="909"/>
  </cols>
  <sheetData>
    <row r="1" spans="1:54" ht="30" customHeight="1" thickBot="1">
      <c r="A1" s="1425" t="s">
        <v>484</v>
      </c>
      <c r="B1" s="1426"/>
      <c r="C1" s="1426"/>
      <c r="D1" s="1426"/>
      <c r="E1" s="1426"/>
      <c r="F1" s="1426"/>
      <c r="G1" s="1426"/>
      <c r="H1" s="1426"/>
      <c r="I1" s="1426"/>
      <c r="J1" s="1426"/>
      <c r="K1" s="1426"/>
      <c r="L1" s="1494"/>
      <c r="M1" s="944"/>
      <c r="N1" s="944"/>
      <c r="O1" s="944"/>
      <c r="P1" s="944"/>
      <c r="Q1" s="944"/>
      <c r="R1" s="944"/>
    </row>
    <row r="3" spans="1:54" s="3" customFormat="1" ht="15" customHeight="1" thickBot="1">
      <c r="A3" s="43"/>
      <c r="B3" s="43"/>
      <c r="C3" s="43"/>
      <c r="D3" s="945"/>
      <c r="E3" s="945"/>
      <c r="F3" s="45"/>
      <c r="G3" s="44"/>
      <c r="H3" s="44"/>
      <c r="I3" s="44"/>
      <c r="J3" s="44"/>
      <c r="K3" s="44"/>
      <c r="L3" s="44"/>
      <c r="M3" s="44"/>
      <c r="N3" s="44"/>
      <c r="O3" s="44"/>
      <c r="P3" s="44"/>
      <c r="Q3" s="44"/>
      <c r="R3" s="44"/>
      <c r="S3" s="43"/>
      <c r="T3" s="43"/>
      <c r="U3" s="945"/>
      <c r="V3" s="945"/>
      <c r="W3" s="45"/>
      <c r="X3" s="44"/>
      <c r="Y3" s="44"/>
      <c r="Z3" s="44"/>
      <c r="AA3" s="44"/>
      <c r="AB3" s="44"/>
      <c r="AC3" s="44"/>
      <c r="AD3" s="44"/>
      <c r="AE3" s="44"/>
      <c r="AF3" s="44"/>
      <c r="AG3" s="44"/>
      <c r="AH3" s="44"/>
      <c r="AI3" s="44"/>
      <c r="AJ3" s="44"/>
      <c r="AK3" s="44"/>
      <c r="AL3" s="44"/>
      <c r="AM3" s="43"/>
      <c r="AN3" s="43"/>
      <c r="AO3" s="43"/>
      <c r="AP3" s="945"/>
      <c r="AQ3" s="945"/>
      <c r="AR3" s="45"/>
      <c r="AS3" s="44"/>
      <c r="AT3" s="44"/>
      <c r="AU3" s="44"/>
      <c r="AV3" s="44"/>
      <c r="AW3" s="44"/>
      <c r="AX3" s="44"/>
      <c r="AY3" s="44"/>
      <c r="AZ3" s="44"/>
      <c r="BA3" s="44"/>
      <c r="BB3" s="45"/>
    </row>
    <row r="4" spans="1:54" s="3" customFormat="1" ht="20.25" customHeight="1" thickBot="1">
      <c r="B4" s="42"/>
      <c r="C4" s="42" t="s">
        <v>6</v>
      </c>
      <c r="D4" s="1434" t="str">
        <f>DNB</f>
        <v>Naam distributienetbeheerder</v>
      </c>
      <c r="E4" s="1436"/>
      <c r="F4" s="42"/>
      <c r="J4" s="44"/>
      <c r="K4" s="44"/>
      <c r="L4" s="44"/>
      <c r="M4" s="44"/>
      <c r="N4" s="44"/>
      <c r="O4" s="44"/>
      <c r="P4" s="44"/>
      <c r="Q4" s="44"/>
      <c r="R4" s="44"/>
      <c r="S4" s="44"/>
      <c r="T4" s="44"/>
      <c r="U4" s="44"/>
      <c r="V4" s="44"/>
      <c r="W4" s="44"/>
      <c r="X4" s="44"/>
      <c r="Y4" s="44"/>
      <c r="Z4" s="44"/>
      <c r="AA4" s="44"/>
      <c r="AB4" s="45"/>
    </row>
    <row r="6" spans="1:54" ht="15" customHeight="1" thickBot="1"/>
    <row r="7" spans="1:54" ht="15" customHeight="1">
      <c r="A7" s="1567" t="s">
        <v>82</v>
      </c>
      <c r="B7" s="1568"/>
      <c r="C7" s="1573"/>
      <c r="D7" s="1577" t="s">
        <v>384</v>
      </c>
      <c r="E7" s="1568"/>
      <c r="F7" s="1568"/>
      <c r="G7" s="1568"/>
      <c r="H7" s="1568"/>
      <c r="I7" s="1568"/>
      <c r="J7" s="1568"/>
      <c r="K7" s="1568"/>
      <c r="L7" s="1568"/>
      <c r="M7" s="1568"/>
      <c r="N7" s="1568"/>
      <c r="O7" s="1573"/>
      <c r="P7" s="1577" t="s">
        <v>383</v>
      </c>
      <c r="Q7" s="1568"/>
      <c r="R7" s="1578"/>
    </row>
    <row r="8" spans="1:54" ht="15" customHeight="1">
      <c r="A8" s="1569"/>
      <c r="B8" s="1574"/>
      <c r="C8" s="1575"/>
      <c r="D8" s="1579" t="s">
        <v>382</v>
      </c>
      <c r="E8" s="1580"/>
      <c r="F8" s="1581"/>
      <c r="G8" s="1579" t="s">
        <v>381</v>
      </c>
      <c r="H8" s="1580"/>
      <c r="I8" s="1581"/>
      <c r="J8" s="1579" t="s">
        <v>380</v>
      </c>
      <c r="K8" s="1580"/>
      <c r="L8" s="1581"/>
      <c r="M8" s="1579" t="s">
        <v>379</v>
      </c>
      <c r="N8" s="1580"/>
      <c r="O8" s="1581"/>
      <c r="P8" s="1582"/>
      <c r="Q8" s="1570"/>
      <c r="R8" s="1583"/>
    </row>
    <row r="9" spans="1:54" ht="15" customHeight="1">
      <c r="A9" s="1569"/>
      <c r="B9" s="1574"/>
      <c r="C9" s="1575"/>
      <c r="D9" s="1579" t="s">
        <v>378</v>
      </c>
      <c r="E9" s="1580"/>
      <c r="F9" s="1581"/>
      <c r="G9" s="1579" t="s">
        <v>377</v>
      </c>
      <c r="H9" s="1580"/>
      <c r="I9" s="1581"/>
      <c r="J9" s="1579" t="s">
        <v>376</v>
      </c>
      <c r="K9" s="1580"/>
      <c r="L9" s="1581"/>
      <c r="M9" s="1579"/>
      <c r="N9" s="1580"/>
      <c r="O9" s="1581"/>
      <c r="P9" s="1582"/>
      <c r="Q9" s="1570"/>
      <c r="R9" s="1583"/>
    </row>
    <row r="10" spans="1:54" ht="15" customHeight="1" thickBot="1">
      <c r="A10" s="1571"/>
      <c r="B10" s="1572"/>
      <c r="C10" s="1576"/>
      <c r="D10" s="946" t="s">
        <v>375</v>
      </c>
      <c r="E10" s="947" t="s">
        <v>374</v>
      </c>
      <c r="F10" s="948" t="s">
        <v>373</v>
      </c>
      <c r="G10" s="946" t="s">
        <v>375</v>
      </c>
      <c r="H10" s="947" t="s">
        <v>374</v>
      </c>
      <c r="I10" s="948" t="s">
        <v>373</v>
      </c>
      <c r="J10" s="946" t="s">
        <v>375</v>
      </c>
      <c r="K10" s="947" t="s">
        <v>374</v>
      </c>
      <c r="L10" s="948" t="s">
        <v>373</v>
      </c>
      <c r="M10" s="946" t="s">
        <v>375</v>
      </c>
      <c r="N10" s="947" t="s">
        <v>374</v>
      </c>
      <c r="O10" s="948" t="s">
        <v>373</v>
      </c>
      <c r="P10" s="946" t="s">
        <v>375</v>
      </c>
      <c r="Q10" s="947" t="s">
        <v>374</v>
      </c>
      <c r="R10" s="949" t="s">
        <v>373</v>
      </c>
    </row>
    <row r="11" spans="1:54" ht="15" customHeight="1">
      <c r="A11" s="911"/>
      <c r="B11" s="912"/>
      <c r="C11" s="912"/>
      <c r="D11" s="913"/>
      <c r="E11" s="950"/>
      <c r="F11" s="914"/>
      <c r="G11" s="913"/>
      <c r="H11" s="950"/>
      <c r="I11" s="914"/>
      <c r="J11" s="913"/>
      <c r="K11" s="950"/>
      <c r="L11" s="914"/>
      <c r="M11" s="913"/>
      <c r="N11" s="950"/>
      <c r="O11" s="914"/>
      <c r="P11" s="913"/>
      <c r="Q11" s="950"/>
      <c r="R11" s="951"/>
    </row>
    <row r="12" spans="1:54" ht="20.25" customHeight="1">
      <c r="A12" s="916" t="s">
        <v>372</v>
      </c>
      <c r="B12" s="917" t="s">
        <v>371</v>
      </c>
      <c r="C12" s="917"/>
      <c r="D12" s="918">
        <f>SUM($D$14,$D$16,$D$18)</f>
        <v>0</v>
      </c>
      <c r="E12" s="952">
        <f>SUM($E$14,$E$16,$E$18)</f>
        <v>0</v>
      </c>
      <c r="F12" s="953">
        <f>SUM($D$12:$E$12)</f>
        <v>0</v>
      </c>
      <c r="G12" s="918">
        <f>SUM($G$14,$G$16,$G$18)</f>
        <v>0</v>
      </c>
      <c r="H12" s="952">
        <f>SUM($H$14,$H$16,$H$18)</f>
        <v>0</v>
      </c>
      <c r="I12" s="953">
        <f>SUM($G$12:$H$12)</f>
        <v>0</v>
      </c>
      <c r="J12" s="918">
        <f>SUM($J$14,$J$16,$J$18)</f>
        <v>0</v>
      </c>
      <c r="K12" s="952">
        <f>SUM($K$14,$K$16,$K$18)</f>
        <v>0</v>
      </c>
      <c r="L12" s="953">
        <f>SUM($J$12:$K$12)</f>
        <v>0</v>
      </c>
      <c r="M12" s="918">
        <f>SUM($M$14,$M$16,$M$18)</f>
        <v>0</v>
      </c>
      <c r="N12" s="952">
        <f>SUM($N$14,$N$16,$N$18)</f>
        <v>0</v>
      </c>
      <c r="O12" s="953">
        <f>SUM($M$12:$N$12)</f>
        <v>0</v>
      </c>
      <c r="P12" s="918">
        <f>SUM($P$14,$P$16,$P$18)</f>
        <v>0</v>
      </c>
      <c r="Q12" s="952">
        <f>SUM($Q$14,$Q$16,$Q$18)</f>
        <v>0</v>
      </c>
      <c r="R12" s="954">
        <f>SUM($P$12:$Q$12)</f>
        <v>0</v>
      </c>
    </row>
    <row r="13" spans="1:54" s="13" customFormat="1" ht="15" customHeight="1">
      <c r="A13" s="921"/>
      <c r="B13" s="922"/>
      <c r="C13" s="922"/>
      <c r="D13" s="923"/>
      <c r="E13" s="955"/>
      <c r="F13" s="953"/>
      <c r="G13" s="923"/>
      <c r="H13" s="955"/>
      <c r="I13" s="953"/>
      <c r="J13" s="923"/>
      <c r="K13" s="955"/>
      <c r="L13" s="953"/>
      <c r="M13" s="923"/>
      <c r="N13" s="955"/>
      <c r="O13" s="953"/>
      <c r="P13" s="923"/>
      <c r="Q13" s="955"/>
      <c r="R13" s="954"/>
    </row>
    <row r="14" spans="1:54" ht="20.25" customHeight="1">
      <c r="A14" s="926"/>
      <c r="B14" s="922" t="s">
        <v>370</v>
      </c>
      <c r="C14" s="922" t="s">
        <v>369</v>
      </c>
      <c r="D14" s="463"/>
      <c r="E14" s="462"/>
      <c r="F14" s="956">
        <f>SUM($D$14:$E$14)</f>
        <v>0</v>
      </c>
      <c r="G14" s="463"/>
      <c r="H14" s="462"/>
      <c r="I14" s="956">
        <f>SUM($G$14:$H$14)</f>
        <v>0</v>
      </c>
      <c r="J14" s="463"/>
      <c r="K14" s="462"/>
      <c r="L14" s="956">
        <f>SUM($J$14:$K$14)</f>
        <v>0</v>
      </c>
      <c r="M14" s="463"/>
      <c r="N14" s="462"/>
      <c r="O14" s="956">
        <f>SUM($M$14:$N$14)</f>
        <v>0</v>
      </c>
      <c r="P14" s="461"/>
      <c r="Q14" s="460"/>
      <c r="R14" s="957">
        <f>SUM($P$14:$Q$14)</f>
        <v>0</v>
      </c>
    </row>
    <row r="15" spans="1:54" ht="15" customHeight="1">
      <c r="A15" s="921"/>
      <c r="B15" s="922"/>
      <c r="C15" s="922"/>
      <c r="D15" s="923"/>
      <c r="E15" s="955"/>
      <c r="F15" s="953"/>
      <c r="G15" s="923"/>
      <c r="H15" s="955"/>
      <c r="I15" s="953"/>
      <c r="J15" s="923"/>
      <c r="K15" s="955"/>
      <c r="L15" s="953"/>
      <c r="M15" s="923"/>
      <c r="N15" s="955"/>
      <c r="O15" s="953"/>
      <c r="P15" s="923"/>
      <c r="Q15" s="955"/>
      <c r="R15" s="954"/>
    </row>
    <row r="16" spans="1:54" ht="20.25" customHeight="1">
      <c r="A16" s="926"/>
      <c r="B16" s="922" t="s">
        <v>368</v>
      </c>
      <c r="C16" s="922" t="s">
        <v>367</v>
      </c>
      <c r="D16" s="461"/>
      <c r="E16" s="460"/>
      <c r="F16" s="958">
        <f>SUM($D$16:$E$16)</f>
        <v>0</v>
      </c>
      <c r="G16" s="461"/>
      <c r="H16" s="460"/>
      <c r="I16" s="958">
        <f>SUM($G$16:$H$16)</f>
        <v>0</v>
      </c>
      <c r="J16" s="461"/>
      <c r="K16" s="460"/>
      <c r="L16" s="958">
        <f>SUM($J$16:$K$16)</f>
        <v>0</v>
      </c>
      <c r="M16" s="461"/>
      <c r="N16" s="460"/>
      <c r="O16" s="958">
        <f>SUM($M$16:$N$16)</f>
        <v>0</v>
      </c>
      <c r="P16" s="463"/>
      <c r="Q16" s="462"/>
      <c r="R16" s="959">
        <f>SUM($P$16:$Q$16)</f>
        <v>0</v>
      </c>
    </row>
    <row r="17" spans="1:18" ht="15" customHeight="1">
      <c r="A17" s="921"/>
      <c r="B17" s="922"/>
      <c r="C17" s="922"/>
      <c r="D17" s="923"/>
      <c r="E17" s="955"/>
      <c r="F17" s="953"/>
      <c r="G17" s="923"/>
      <c r="H17" s="955"/>
      <c r="I17" s="953"/>
      <c r="J17" s="923"/>
      <c r="K17" s="955"/>
      <c r="L17" s="953"/>
      <c r="M17" s="923"/>
      <c r="N17" s="955"/>
      <c r="O17" s="953"/>
      <c r="P17" s="923"/>
      <c r="Q17" s="955"/>
      <c r="R17" s="954"/>
    </row>
    <row r="18" spans="1:18" ht="20.25" customHeight="1">
      <c r="A18" s="926"/>
      <c r="B18" s="922" t="s">
        <v>366</v>
      </c>
      <c r="C18" s="930" t="s">
        <v>365</v>
      </c>
      <c r="D18" s="463"/>
      <c r="E18" s="462"/>
      <c r="F18" s="956">
        <f>SUM($D$18:$E$18)</f>
        <v>0</v>
      </c>
      <c r="G18" s="463"/>
      <c r="H18" s="462"/>
      <c r="I18" s="956">
        <f>SUM($G$18:$H$18)</f>
        <v>0</v>
      </c>
      <c r="J18" s="463"/>
      <c r="K18" s="462"/>
      <c r="L18" s="956">
        <f>SUM($J$18:$K$18)</f>
        <v>0</v>
      </c>
      <c r="M18" s="463"/>
      <c r="N18" s="462"/>
      <c r="O18" s="956">
        <f>SUM($M$18:$N$18)</f>
        <v>0</v>
      </c>
      <c r="P18" s="463"/>
      <c r="Q18" s="462"/>
      <c r="R18" s="959">
        <f>SUM($P$18:$Q$18)</f>
        <v>0</v>
      </c>
    </row>
    <row r="19" spans="1:18" ht="15" customHeight="1">
      <c r="A19" s="921"/>
      <c r="B19" s="922"/>
      <c r="C19" s="922"/>
      <c r="D19" s="923"/>
      <c r="E19" s="955"/>
      <c r="F19" s="953"/>
      <c r="G19" s="923"/>
      <c r="H19" s="955"/>
      <c r="I19" s="960"/>
      <c r="J19" s="923"/>
      <c r="K19" s="955"/>
      <c r="L19" s="960"/>
      <c r="M19" s="923"/>
      <c r="N19" s="955"/>
      <c r="O19" s="960"/>
      <c r="P19" s="923"/>
      <c r="Q19" s="955"/>
      <c r="R19" s="961"/>
    </row>
    <row r="20" spans="1:18" s="13" customFormat="1" ht="20.25" customHeight="1">
      <c r="A20" s="916" t="s">
        <v>364</v>
      </c>
      <c r="B20" s="917" t="s">
        <v>363</v>
      </c>
      <c r="C20" s="917"/>
      <c r="D20" s="473"/>
      <c r="E20" s="472"/>
      <c r="F20" s="956">
        <f>SUM($D$20:$E$20)</f>
        <v>0</v>
      </c>
      <c r="G20" s="471"/>
      <c r="H20" s="470"/>
      <c r="I20" s="958">
        <f>SUM($G$20:$H$20)</f>
        <v>0</v>
      </c>
      <c r="J20" s="471"/>
      <c r="K20" s="470"/>
      <c r="L20" s="958">
        <f>SUM($J$20:$K$20)</f>
        <v>0</v>
      </c>
      <c r="M20" s="471"/>
      <c r="N20" s="470"/>
      <c r="O20" s="958">
        <f>SUM($M$20:$N$20)</f>
        <v>0</v>
      </c>
      <c r="P20" s="471"/>
      <c r="Q20" s="470"/>
      <c r="R20" s="957">
        <f>SUM($P$20:$Q$20)</f>
        <v>0</v>
      </c>
    </row>
    <row r="21" spans="1:18" ht="15" customHeight="1">
      <c r="A21" s="921"/>
      <c r="B21" s="922"/>
      <c r="C21" s="922"/>
      <c r="D21" s="923"/>
      <c r="E21" s="955"/>
      <c r="F21" s="953"/>
      <c r="G21" s="923"/>
      <c r="H21" s="955"/>
      <c r="I21" s="953"/>
      <c r="J21" s="923"/>
      <c r="K21" s="955"/>
      <c r="L21" s="953"/>
      <c r="M21" s="923"/>
      <c r="N21" s="955"/>
      <c r="O21" s="953"/>
      <c r="P21" s="923"/>
      <c r="Q21" s="955"/>
      <c r="R21" s="954"/>
    </row>
    <row r="22" spans="1:18" s="13" customFormat="1" ht="20.25" customHeight="1">
      <c r="A22" s="916" t="s">
        <v>362</v>
      </c>
      <c r="B22" s="917" t="s">
        <v>9</v>
      </c>
      <c r="C22" s="917"/>
      <c r="D22" s="931">
        <f>SUM($D$24:$D$25)</f>
        <v>0</v>
      </c>
      <c r="E22" s="962">
        <f>SUM($E$24:$E$25)</f>
        <v>0</v>
      </c>
      <c r="F22" s="956">
        <f>SUM($D$22:$E$22)</f>
        <v>0</v>
      </c>
      <c r="G22" s="931">
        <f>SUM($G$24:$G$25)</f>
        <v>0</v>
      </c>
      <c r="H22" s="962">
        <f>SUM($H$24:$H$25)</f>
        <v>0</v>
      </c>
      <c r="I22" s="956">
        <f>SUM($G$22:$H$22)</f>
        <v>0</v>
      </c>
      <c r="J22" s="931">
        <f>SUM($J$24:$J$25)</f>
        <v>0</v>
      </c>
      <c r="K22" s="962">
        <f>SUM($K$24:$K$25)</f>
        <v>0</v>
      </c>
      <c r="L22" s="956">
        <f>SUM($J$22:$K$22)</f>
        <v>0</v>
      </c>
      <c r="M22" s="963">
        <f>SUM($M$24:$M$25)</f>
        <v>0</v>
      </c>
      <c r="N22" s="964">
        <f>SUM($N$24:$N$25)</f>
        <v>0</v>
      </c>
      <c r="O22" s="958">
        <f>SUM($M$22:$N$22)</f>
        <v>0</v>
      </c>
      <c r="P22" s="963">
        <f>SUM($P$24:$P$25)</f>
        <v>0</v>
      </c>
      <c r="Q22" s="964">
        <f>SUM($Q$24:$Q$25)</f>
        <v>0</v>
      </c>
      <c r="R22" s="957">
        <f>SUM($P$22:$Q$22)</f>
        <v>0</v>
      </c>
    </row>
    <row r="23" spans="1:18" s="13" customFormat="1" ht="15" customHeight="1">
      <c r="A23" s="921"/>
      <c r="B23" s="922"/>
      <c r="C23" s="922"/>
      <c r="D23" s="931"/>
      <c r="E23" s="962"/>
      <c r="F23" s="956"/>
      <c r="G23" s="931"/>
      <c r="H23" s="962"/>
      <c r="I23" s="956"/>
      <c r="J23" s="931"/>
      <c r="K23" s="962"/>
      <c r="L23" s="956"/>
      <c r="M23" s="931"/>
      <c r="N23" s="962"/>
      <c r="O23" s="956"/>
      <c r="P23" s="931"/>
      <c r="Q23" s="962"/>
      <c r="R23" s="959"/>
    </row>
    <row r="24" spans="1:18" ht="20.25" customHeight="1">
      <c r="A24" s="926"/>
      <c r="B24" s="922" t="s">
        <v>361</v>
      </c>
      <c r="C24" s="922" t="s">
        <v>360</v>
      </c>
      <c r="D24" s="463"/>
      <c r="E24" s="462"/>
      <c r="F24" s="956">
        <f>SUM($D$24:$E$24)</f>
        <v>0</v>
      </c>
      <c r="G24" s="463"/>
      <c r="H24" s="462"/>
      <c r="I24" s="956">
        <f>SUM($G$24:$H$24)</f>
        <v>0</v>
      </c>
      <c r="J24" s="463"/>
      <c r="K24" s="462"/>
      <c r="L24" s="956">
        <f>SUM($J$24:$K$24)</f>
        <v>0</v>
      </c>
      <c r="M24" s="461"/>
      <c r="N24" s="460"/>
      <c r="O24" s="958">
        <f>SUM($M$24:$N$24)</f>
        <v>0</v>
      </c>
      <c r="P24" s="461"/>
      <c r="Q24" s="460"/>
      <c r="R24" s="957">
        <f>SUM($P$24:$Q$24)</f>
        <v>0</v>
      </c>
    </row>
    <row r="25" spans="1:18" ht="20.25" customHeight="1">
      <c r="A25" s="926"/>
      <c r="B25" s="922" t="s">
        <v>359</v>
      </c>
      <c r="C25" s="930" t="s">
        <v>358</v>
      </c>
      <c r="D25" s="463"/>
      <c r="E25" s="462"/>
      <c r="F25" s="956">
        <f>SUM($D$25:$E$25)</f>
        <v>0</v>
      </c>
      <c r="G25" s="463"/>
      <c r="H25" s="462"/>
      <c r="I25" s="956">
        <f>SUM($G$25:$H$25)</f>
        <v>0</v>
      </c>
      <c r="J25" s="463"/>
      <c r="K25" s="462"/>
      <c r="L25" s="956">
        <f>SUM($J$25:$K$25)</f>
        <v>0</v>
      </c>
      <c r="M25" s="461"/>
      <c r="N25" s="460"/>
      <c r="O25" s="958">
        <f>SUM($M$25:$N$25)</f>
        <v>0</v>
      </c>
      <c r="P25" s="461"/>
      <c r="Q25" s="460"/>
      <c r="R25" s="957">
        <f>SUM($P$25:$Q$25)</f>
        <v>0</v>
      </c>
    </row>
    <row r="26" spans="1:18" ht="15" customHeight="1" thickBot="1">
      <c r="A26" s="933"/>
      <c r="B26" s="934"/>
      <c r="C26" s="934"/>
      <c r="D26" s="965"/>
      <c r="E26" s="966"/>
      <c r="F26" s="967"/>
      <c r="G26" s="965"/>
      <c r="H26" s="966"/>
      <c r="I26" s="967"/>
      <c r="J26" s="965"/>
      <c r="K26" s="966"/>
      <c r="L26" s="968"/>
      <c r="M26" s="965"/>
      <c r="N26" s="966"/>
      <c r="O26" s="968"/>
      <c r="P26" s="965"/>
      <c r="Q26" s="966"/>
      <c r="R26" s="969"/>
    </row>
    <row r="27" spans="1:18" ht="20.25" customHeight="1" thickBot="1">
      <c r="A27" s="970"/>
      <c r="B27" s="971"/>
      <c r="C27" s="939" t="s">
        <v>11</v>
      </c>
      <c r="D27" s="972">
        <f>SUM($D$22,$D$20,$D$12)</f>
        <v>0</v>
      </c>
      <c r="E27" s="973">
        <f>SUM($E$22,$E$20,$E$12)</f>
        <v>0</v>
      </c>
      <c r="F27" s="974">
        <f>SUM($D$27:$E$27)</f>
        <v>0</v>
      </c>
      <c r="G27" s="972">
        <f>SUM($G$22,$G$20,$G$12)</f>
        <v>0</v>
      </c>
      <c r="H27" s="973">
        <f>SUM($H$22,$H$20,$H$12)</f>
        <v>0</v>
      </c>
      <c r="I27" s="974">
        <f>SUM($G$27:$H$27)</f>
        <v>0</v>
      </c>
      <c r="J27" s="972">
        <f>SUM($J$22,$J$20,$J$12)</f>
        <v>0</v>
      </c>
      <c r="K27" s="973">
        <f>SUM($K$22,$K$20,$K$12)</f>
        <v>0</v>
      </c>
      <c r="L27" s="974">
        <f>SUM($J$27:$K$27)</f>
        <v>0</v>
      </c>
      <c r="M27" s="972">
        <f>SUM($M$22,$M$20,$M$12)</f>
        <v>0</v>
      </c>
      <c r="N27" s="973">
        <f>SUM($N$22,$N$20,$N$12)</f>
        <v>0</v>
      </c>
      <c r="O27" s="974">
        <f>SUM($M$27:$N$27)</f>
        <v>0</v>
      </c>
      <c r="P27" s="972">
        <f>SUM($P$22,$P$20,$P$12)</f>
        <v>0</v>
      </c>
      <c r="Q27" s="973">
        <f>SUM($Q$22,$Q$20,$Q$12)</f>
        <v>0</v>
      </c>
      <c r="R27" s="975">
        <f>SUM($P$27:$Q$27)</f>
        <v>0</v>
      </c>
    </row>
    <row r="29" spans="1:18" ht="15" customHeight="1">
      <c r="O29" s="976"/>
      <c r="P29" s="976"/>
      <c r="Q29" s="976"/>
      <c r="R29" s="976"/>
    </row>
    <row r="30" spans="1:18" ht="15" customHeight="1">
      <c r="O30" s="977"/>
      <c r="P30" s="977"/>
      <c r="Q30" s="977"/>
      <c r="R30" s="977"/>
    </row>
    <row r="32" spans="1:18" s="981" customFormat="1" ht="15" customHeight="1">
      <c r="A32" s="909"/>
      <c r="B32" s="909"/>
      <c r="C32" s="978"/>
      <c r="D32" s="979"/>
      <c r="E32" s="979"/>
      <c r="F32" s="980"/>
      <c r="G32" s="979"/>
      <c r="H32" s="979"/>
      <c r="I32" s="979"/>
      <c r="J32" s="979"/>
      <c r="K32" s="979"/>
      <c r="L32" s="979"/>
      <c r="M32" s="979"/>
      <c r="N32" s="979"/>
      <c r="O32" s="979"/>
      <c r="P32" s="979"/>
      <c r="Q32" s="979"/>
      <c r="R32" s="979"/>
    </row>
    <row r="33" spans="3:18" ht="15" customHeight="1">
      <c r="C33" s="978"/>
      <c r="D33" s="982"/>
      <c r="E33" s="982"/>
      <c r="F33" s="982"/>
      <c r="G33" s="982"/>
      <c r="H33" s="982"/>
      <c r="I33" s="982"/>
      <c r="J33" s="982"/>
      <c r="K33" s="982"/>
      <c r="L33" s="982"/>
      <c r="M33" s="982"/>
      <c r="N33" s="982"/>
      <c r="O33" s="982"/>
      <c r="P33" s="982"/>
      <c r="Q33" s="982"/>
      <c r="R33" s="982"/>
    </row>
    <row r="34" spans="3:18" ht="15" customHeight="1">
      <c r="C34" s="978"/>
      <c r="D34" s="983"/>
      <c r="E34" s="983"/>
      <c r="F34" s="979"/>
      <c r="G34" s="983"/>
      <c r="H34" s="983"/>
      <c r="I34" s="979"/>
      <c r="J34" s="983"/>
      <c r="K34" s="983"/>
      <c r="L34" s="979"/>
      <c r="M34" s="983"/>
      <c r="N34" s="983"/>
      <c r="O34" s="979"/>
      <c r="P34" s="979"/>
      <c r="Q34" s="979"/>
      <c r="R34" s="979"/>
    </row>
    <row r="35" spans="3:18" ht="15" customHeight="1">
      <c r="D35" s="982"/>
      <c r="E35" s="982"/>
      <c r="F35" s="982"/>
      <c r="G35" s="982"/>
      <c r="H35" s="982"/>
      <c r="I35" s="982"/>
      <c r="J35" s="982"/>
      <c r="K35" s="982"/>
      <c r="L35" s="982"/>
      <c r="M35" s="982"/>
      <c r="N35" s="982"/>
      <c r="O35" s="982"/>
      <c r="P35" s="982"/>
      <c r="Q35" s="982"/>
      <c r="R35" s="982"/>
    </row>
  </sheetData>
  <sheetProtection algorithmName="SHA-512" hashValue="dNYyIVHdouuA3kAhaJjZABo9Jb+rdn8jp8qZ0eUFl5aZYKSiUcSnbeV7Et+RcEC0njgahZ6QRNCToyXHoI0WfA==" saltValue="owXpUuY0Sok3sBpv+ptSLw==" spinCount="100000" sheet="1" objects="1" scenarios="1"/>
  <mergeCells count="14">
    <mergeCell ref="A1:L1"/>
    <mergeCell ref="D4:E4"/>
    <mergeCell ref="A7:C10"/>
    <mergeCell ref="D7:O7"/>
    <mergeCell ref="P7:R7"/>
    <mergeCell ref="D8:F8"/>
    <mergeCell ref="G8:I8"/>
    <mergeCell ref="J8:L8"/>
    <mergeCell ref="M8:O8"/>
    <mergeCell ref="P8:R9"/>
    <mergeCell ref="D9:F9"/>
    <mergeCell ref="G9:I9"/>
    <mergeCell ref="J9:L9"/>
    <mergeCell ref="M9:O9"/>
  </mergeCells>
  <pageMargins left="0.19685039370078741" right="0.19685039370078741" top="0.39370078740157483" bottom="0.39370078740157483" header="0.51181102362204722" footer="0.19685039370078741"/>
  <pageSetup paperSize="8" scale="55" orientation="landscape" r:id="rId1"/>
  <headerFooter alignWithMargins="0">
    <oddFooter>&amp;C&amp;8&amp;F&amp;R&amp;8&amp;A</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B520D6-844D-4E28-AA92-9421E6B91D7D}">
  <sheetPr published="0">
    <pageSetUpPr fitToPage="1"/>
  </sheetPr>
  <dimension ref="A1:M29"/>
  <sheetViews>
    <sheetView workbookViewId="0">
      <selection activeCell="D4" sqref="D4:E4"/>
    </sheetView>
  </sheetViews>
  <sheetFormatPr defaultColWidth="10.7109375" defaultRowHeight="15"/>
  <cols>
    <col min="1" max="2" width="5.7109375" style="1" customWidth="1"/>
    <col min="3" max="3" width="50.7109375" style="1" customWidth="1"/>
    <col min="4" max="13" width="20.7109375" style="1" customWidth="1"/>
    <col min="14" max="16384" width="10.7109375" style="1"/>
  </cols>
  <sheetData>
    <row r="1" spans="1:13" ht="30" customHeight="1" thickBot="1">
      <c r="A1" s="1584" t="s">
        <v>486</v>
      </c>
      <c r="B1" s="1585"/>
      <c r="C1" s="1585"/>
      <c r="D1" s="1585"/>
      <c r="E1" s="1585"/>
      <c r="F1" s="1585"/>
      <c r="G1" s="1585"/>
      <c r="H1" s="1585"/>
      <c r="I1" s="1585"/>
      <c r="J1" s="1585"/>
      <c r="K1" s="1585"/>
      <c r="L1" s="1585"/>
      <c r="M1" s="1586"/>
    </row>
    <row r="3" spans="1:13" ht="15.75" thickBot="1"/>
    <row r="4" spans="1:13" ht="15.75" thickBot="1">
      <c r="C4" s="475" t="s">
        <v>6</v>
      </c>
      <c r="D4" s="1605" t="str">
        <f>DNB</f>
        <v>Naam distributienetbeheerder</v>
      </c>
      <c r="E4" s="1606"/>
    </row>
    <row r="6" spans="1:13" ht="15.75" thickBot="1"/>
    <row r="7" spans="1:13">
      <c r="A7" s="1587" t="s">
        <v>82</v>
      </c>
      <c r="B7" s="1588"/>
      <c r="C7" s="1589"/>
      <c r="D7" s="1589" t="s">
        <v>109</v>
      </c>
      <c r="E7" s="1596" t="s">
        <v>384</v>
      </c>
      <c r="F7" s="1597"/>
      <c r="G7" s="1597"/>
      <c r="H7" s="1597"/>
      <c r="I7" s="1597"/>
      <c r="J7" s="1597"/>
      <c r="K7" s="1597"/>
      <c r="L7" s="1598"/>
      <c r="M7" s="1599" t="s">
        <v>383</v>
      </c>
    </row>
    <row r="8" spans="1:13">
      <c r="A8" s="1590"/>
      <c r="B8" s="1591"/>
      <c r="C8" s="1592"/>
      <c r="D8" s="1592"/>
      <c r="E8" s="1602" t="s">
        <v>394</v>
      </c>
      <c r="F8" s="1603"/>
      <c r="G8" s="1603"/>
      <c r="H8" s="1603"/>
      <c r="I8" s="1603" t="s">
        <v>393</v>
      </c>
      <c r="J8" s="1603"/>
      <c r="K8" s="1603" t="s">
        <v>379</v>
      </c>
      <c r="L8" s="1604"/>
      <c r="M8" s="1600"/>
    </row>
    <row r="9" spans="1:13" ht="15.75" thickBot="1">
      <c r="A9" s="1593"/>
      <c r="B9" s="1594"/>
      <c r="C9" s="1595"/>
      <c r="D9" s="1595"/>
      <c r="E9" s="503" t="s">
        <v>392</v>
      </c>
      <c r="F9" s="502" t="s">
        <v>391</v>
      </c>
      <c r="G9" s="502" t="s">
        <v>390</v>
      </c>
      <c r="H9" s="502" t="s">
        <v>389</v>
      </c>
      <c r="I9" s="502" t="s">
        <v>388</v>
      </c>
      <c r="J9" s="502" t="s">
        <v>376</v>
      </c>
      <c r="K9" s="502" t="s">
        <v>387</v>
      </c>
      <c r="L9" s="501" t="s">
        <v>386</v>
      </c>
      <c r="M9" s="1601"/>
    </row>
    <row r="10" spans="1:13">
      <c r="A10" s="499"/>
      <c r="B10" s="498"/>
      <c r="C10" s="498"/>
      <c r="D10" s="497"/>
      <c r="E10" s="495"/>
      <c r="F10" s="494"/>
      <c r="G10" s="494"/>
      <c r="H10" s="494"/>
      <c r="I10" s="494"/>
      <c r="J10" s="494"/>
      <c r="K10" s="494"/>
      <c r="L10" s="493"/>
      <c r="M10" s="492"/>
    </row>
    <row r="11" spans="1:13">
      <c r="A11" s="469" t="s">
        <v>372</v>
      </c>
      <c r="B11" s="468" t="s">
        <v>371</v>
      </c>
      <c r="C11" s="468"/>
      <c r="D11" s="496"/>
      <c r="E11" s="495"/>
      <c r="F11" s="494"/>
      <c r="G11" s="494"/>
      <c r="H11" s="494"/>
      <c r="I11" s="494"/>
      <c r="J11" s="494"/>
      <c r="K11" s="494"/>
      <c r="L11" s="493"/>
      <c r="M11" s="492"/>
    </row>
    <row r="12" spans="1:13">
      <c r="A12" s="467"/>
      <c r="B12" s="465"/>
      <c r="C12" s="465"/>
      <c r="D12" s="496"/>
      <c r="E12" s="495"/>
      <c r="F12" s="494"/>
      <c r="G12" s="494"/>
      <c r="H12" s="494"/>
      <c r="I12" s="494"/>
      <c r="J12" s="494"/>
      <c r="K12" s="494"/>
      <c r="L12" s="493"/>
      <c r="M12" s="492"/>
    </row>
    <row r="13" spans="1:13" ht="18">
      <c r="A13" s="466"/>
      <c r="B13" s="465" t="s">
        <v>370</v>
      </c>
      <c r="C13" s="465" t="s">
        <v>369</v>
      </c>
      <c r="D13" s="150" t="s">
        <v>114</v>
      </c>
      <c r="E13" s="984"/>
      <c r="F13" s="985"/>
      <c r="G13" s="985"/>
      <c r="H13" s="985"/>
      <c r="I13" s="986"/>
      <c r="J13" s="986"/>
      <c r="K13" s="986"/>
      <c r="L13" s="987"/>
      <c r="M13" s="988"/>
    </row>
    <row r="14" spans="1:13" ht="18">
      <c r="A14" s="466"/>
      <c r="B14" s="465"/>
      <c r="C14" s="465"/>
      <c r="D14" s="150" t="s">
        <v>115</v>
      </c>
      <c r="E14" s="984"/>
      <c r="F14" s="985"/>
      <c r="G14" s="985"/>
      <c r="H14" s="985"/>
      <c r="I14" s="985"/>
      <c r="J14" s="985"/>
      <c r="K14" s="985"/>
      <c r="L14" s="989"/>
      <c r="M14" s="988"/>
    </row>
    <row r="15" spans="1:13" ht="18">
      <c r="A15" s="466"/>
      <c r="B15" s="465"/>
      <c r="C15" s="465"/>
      <c r="D15" s="150" t="s">
        <v>487</v>
      </c>
      <c r="E15" s="990"/>
      <c r="F15" s="986"/>
      <c r="G15" s="986"/>
      <c r="H15" s="986"/>
      <c r="I15" s="985"/>
      <c r="J15" s="985"/>
      <c r="K15" s="986"/>
      <c r="L15" s="987"/>
      <c r="M15" s="988"/>
    </row>
    <row r="16" spans="1:13">
      <c r="A16" s="467"/>
      <c r="B16" s="465"/>
      <c r="C16" s="465"/>
      <c r="D16" s="497"/>
      <c r="E16" s="495"/>
      <c r="F16" s="494"/>
      <c r="G16" s="494"/>
      <c r="H16" s="494"/>
      <c r="I16" s="494"/>
      <c r="J16" s="494"/>
      <c r="K16" s="494"/>
      <c r="L16" s="493"/>
      <c r="M16" s="492"/>
    </row>
    <row r="17" spans="1:13" ht="18">
      <c r="A17" s="466"/>
      <c r="B17" s="465" t="s">
        <v>368</v>
      </c>
      <c r="C17" s="465" t="s">
        <v>367</v>
      </c>
      <c r="D17" s="150" t="s">
        <v>116</v>
      </c>
      <c r="E17" s="990"/>
      <c r="F17" s="986"/>
      <c r="G17" s="986"/>
      <c r="H17" s="986"/>
      <c r="I17" s="986"/>
      <c r="J17" s="986"/>
      <c r="K17" s="986"/>
      <c r="L17" s="987"/>
      <c r="M17" s="1003"/>
    </row>
    <row r="18" spans="1:13">
      <c r="A18" s="467"/>
      <c r="B18" s="465"/>
      <c r="C18" s="465"/>
      <c r="D18" s="496"/>
      <c r="E18" s="495"/>
      <c r="F18" s="494"/>
      <c r="G18" s="494"/>
      <c r="H18" s="494"/>
      <c r="I18" s="494"/>
      <c r="J18" s="494"/>
      <c r="K18" s="494"/>
      <c r="L18" s="493"/>
      <c r="M18" s="492"/>
    </row>
    <row r="19" spans="1:13">
      <c r="A19" s="466"/>
      <c r="B19" s="465" t="s">
        <v>366</v>
      </c>
      <c r="C19" s="464" t="s">
        <v>365</v>
      </c>
      <c r="D19" s="489" t="s">
        <v>7</v>
      </c>
      <c r="E19" s="996"/>
      <c r="F19" s="997"/>
      <c r="G19" s="997"/>
      <c r="H19" s="997"/>
      <c r="I19" s="998"/>
      <c r="J19" s="998"/>
      <c r="K19" s="997"/>
      <c r="L19" s="999"/>
      <c r="M19" s="1000"/>
    </row>
    <row r="20" spans="1:13">
      <c r="A20" s="466"/>
      <c r="B20" s="465"/>
      <c r="C20" s="464"/>
      <c r="D20" s="489" t="s">
        <v>8</v>
      </c>
      <c r="E20" s="1001"/>
      <c r="F20" s="998"/>
      <c r="G20" s="998"/>
      <c r="H20" s="998"/>
      <c r="I20" s="997"/>
      <c r="J20" s="997"/>
      <c r="K20" s="997"/>
      <c r="L20" s="999"/>
      <c r="M20" s="1002"/>
    </row>
    <row r="21" spans="1:13">
      <c r="A21" s="466"/>
      <c r="B21" s="465"/>
      <c r="C21" s="464"/>
      <c r="D21" s="489" t="s">
        <v>398</v>
      </c>
      <c r="E21" s="1001"/>
      <c r="F21" s="998"/>
      <c r="G21" s="998"/>
      <c r="H21" s="998"/>
      <c r="I21" s="997"/>
      <c r="J21" s="997"/>
      <c r="K21" s="997"/>
      <c r="L21" s="999"/>
      <c r="M21" s="1002"/>
    </row>
    <row r="22" spans="1:13">
      <c r="A22" s="467"/>
      <c r="B22" s="465"/>
      <c r="C22" s="465"/>
      <c r="D22" s="489"/>
      <c r="E22" s="488"/>
      <c r="F22" s="487"/>
      <c r="G22" s="487"/>
      <c r="H22" s="487"/>
      <c r="I22" s="487"/>
      <c r="J22" s="487"/>
      <c r="K22" s="487"/>
      <c r="L22" s="491"/>
      <c r="M22" s="490"/>
    </row>
    <row r="23" spans="1:13" ht="18">
      <c r="A23" s="469" t="s">
        <v>364</v>
      </c>
      <c r="B23" s="468" t="s">
        <v>363</v>
      </c>
      <c r="C23" s="468"/>
      <c r="D23" s="150" t="s">
        <v>115</v>
      </c>
      <c r="E23" s="991"/>
      <c r="F23" s="992"/>
      <c r="G23" s="992"/>
      <c r="H23" s="993"/>
      <c r="I23" s="993"/>
      <c r="J23" s="993"/>
      <c r="K23" s="993"/>
      <c r="L23" s="994"/>
      <c r="M23" s="995"/>
    </row>
    <row r="24" spans="1:13">
      <c r="A24" s="467"/>
      <c r="B24" s="465"/>
      <c r="C24" s="465"/>
      <c r="D24" s="489"/>
      <c r="E24" s="488"/>
      <c r="F24" s="487"/>
      <c r="G24" s="487"/>
      <c r="H24" s="487"/>
      <c r="I24" s="487"/>
      <c r="J24" s="487"/>
      <c r="K24" s="487"/>
      <c r="L24" s="491"/>
      <c r="M24" s="490"/>
    </row>
    <row r="25" spans="1:13">
      <c r="A25" s="469" t="s">
        <v>362</v>
      </c>
      <c r="B25" s="468" t="s">
        <v>9</v>
      </c>
      <c r="C25" s="468"/>
      <c r="D25" s="150"/>
      <c r="E25" s="488"/>
      <c r="F25" s="487"/>
      <c r="G25" s="487"/>
      <c r="H25" s="487"/>
      <c r="I25" s="487"/>
      <c r="J25" s="487"/>
      <c r="K25" s="487"/>
      <c r="L25" s="491"/>
      <c r="M25" s="490"/>
    </row>
    <row r="26" spans="1:13">
      <c r="A26" s="467"/>
      <c r="B26" s="465"/>
      <c r="C26" s="465"/>
      <c r="D26" s="489"/>
      <c r="E26" s="488"/>
      <c r="F26" s="487"/>
      <c r="G26" s="487"/>
      <c r="H26" s="487"/>
      <c r="I26" s="487"/>
      <c r="J26" s="487"/>
      <c r="K26" s="487"/>
      <c r="L26" s="491"/>
      <c r="M26" s="490"/>
    </row>
    <row r="27" spans="1:13" ht="18">
      <c r="A27" s="466"/>
      <c r="B27" s="465" t="s">
        <v>361</v>
      </c>
      <c r="C27" s="465" t="s">
        <v>360</v>
      </c>
      <c r="D27" s="150" t="s">
        <v>115</v>
      </c>
      <c r="E27" s="991"/>
      <c r="F27" s="992"/>
      <c r="G27" s="992"/>
      <c r="H27" s="992"/>
      <c r="I27" s="992"/>
      <c r="J27" s="992"/>
      <c r="K27" s="993"/>
      <c r="L27" s="994"/>
      <c r="M27" s="995"/>
    </row>
    <row r="28" spans="1:13" ht="18">
      <c r="A28" s="466"/>
      <c r="B28" s="465" t="s">
        <v>359</v>
      </c>
      <c r="C28" s="464" t="s">
        <v>358</v>
      </c>
      <c r="D28" s="150" t="s">
        <v>115</v>
      </c>
      <c r="E28" s="991"/>
      <c r="F28" s="992"/>
      <c r="G28" s="992"/>
      <c r="H28" s="992"/>
      <c r="I28" s="992"/>
      <c r="J28" s="992"/>
      <c r="K28" s="993"/>
      <c r="L28" s="994"/>
      <c r="M28" s="995"/>
    </row>
    <row r="29" spans="1:13" ht="15.75" thickBot="1">
      <c r="A29" s="459"/>
      <c r="B29" s="458"/>
      <c r="C29" s="458"/>
      <c r="D29" s="486"/>
      <c r="E29" s="483"/>
      <c r="F29" s="482"/>
      <c r="G29" s="482"/>
      <c r="H29" s="482"/>
      <c r="I29" s="482"/>
      <c r="J29" s="482"/>
      <c r="K29" s="482"/>
      <c r="L29" s="481"/>
      <c r="M29" s="480"/>
    </row>
  </sheetData>
  <sheetProtection algorithmName="SHA-512" hashValue="rleG8ICRxvPnqjpoZUc5zjy5vcLARg42wWfk/6f1+ZGOJ4QFKmf+4Ur3KFX8R/6G5PP46Me6yWLrIoo8F+iULA==" saltValue="LaRPbuBaaA0ecUlJ2ZHf0w==" spinCount="100000" sheet="1" objects="1" scenarios="1"/>
  <mergeCells count="9">
    <mergeCell ref="A1:M1"/>
    <mergeCell ref="A7:C9"/>
    <mergeCell ref="D7:D9"/>
    <mergeCell ref="E7:L7"/>
    <mergeCell ref="M7:M9"/>
    <mergeCell ref="E8:H8"/>
    <mergeCell ref="I8:J8"/>
    <mergeCell ref="K8:L8"/>
    <mergeCell ref="D4:E4"/>
  </mergeCells>
  <pageMargins left="0.70866141732283472" right="0.70866141732283472" top="0.74803149606299213" bottom="0.74803149606299213" header="0.31496062992125984" footer="0.31496062992125984"/>
  <pageSetup paperSize="8" scale="4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A42EEE-A511-4635-9D53-2A88B7A64C05}">
  <sheetPr published="0">
    <tabColor rgb="FFD8E4BC"/>
  </sheetPr>
  <dimension ref="A1"/>
  <sheetViews>
    <sheetView workbookViewId="0"/>
  </sheetViews>
  <sheetFormatPr defaultRowHeight="15"/>
  <sheetData/>
  <sheetProtection algorithmName="SHA-512" hashValue="KsM98gToDKaY8CosZXfsIKCatV4ODVmIPHajyHtLW+EraLqtUDp65Y4teYJYFsXaKU61n4N7zXkjTC5REkkIEA==" saltValue="dz2l08L9wIQwB4vQf/fcCQ==" spinCount="100000" sheet="1" objects="1" scenarios="1"/>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BE2ABD-46BB-4D3C-A4F0-C14FBE5EDD1C}">
  <sheetPr published="0">
    <pageSetUpPr fitToPage="1"/>
  </sheetPr>
  <dimension ref="A1:BB39"/>
  <sheetViews>
    <sheetView zoomScaleNormal="100" zoomScaleSheetLayoutView="55" workbookViewId="0">
      <selection activeCell="D4" sqref="D4:E4"/>
    </sheetView>
  </sheetViews>
  <sheetFormatPr defaultColWidth="9.140625" defaultRowHeight="15"/>
  <cols>
    <col min="1" max="2" width="5.7109375" style="479" customWidth="1"/>
    <col min="3" max="3" width="50.7109375" style="479" customWidth="1"/>
    <col min="4" max="13" width="20.7109375" style="479" customWidth="1"/>
    <col min="14" max="256" width="10.7109375" style="479" customWidth="1"/>
    <col min="257" max="16384" width="9.140625" style="479"/>
  </cols>
  <sheetData>
    <row r="1" spans="1:54" ht="30" customHeight="1" thickBot="1">
      <c r="A1" s="1584" t="s">
        <v>485</v>
      </c>
      <c r="B1" s="1585"/>
      <c r="C1" s="1585"/>
      <c r="D1" s="1585"/>
      <c r="E1" s="1585"/>
      <c r="F1" s="1585"/>
      <c r="G1" s="1585"/>
      <c r="H1" s="1585"/>
      <c r="I1" s="1585"/>
      <c r="J1" s="1585"/>
      <c r="K1" s="1585"/>
      <c r="L1" s="1585"/>
      <c r="M1" s="1586"/>
      <c r="N1" s="477"/>
      <c r="O1" s="477"/>
      <c r="P1" s="477"/>
      <c r="Q1" s="477"/>
      <c r="R1" s="477"/>
      <c r="S1" s="513"/>
      <c r="T1" s="513"/>
      <c r="U1" s="513"/>
      <c r="V1" s="513"/>
      <c r="W1" s="513"/>
      <c r="X1" s="531"/>
      <c r="Y1" s="531"/>
      <c r="Z1" s="531"/>
      <c r="AA1" s="531"/>
      <c r="AB1" s="531"/>
      <c r="AC1" s="531"/>
      <c r="AD1" s="531"/>
      <c r="AE1" s="531"/>
      <c r="AF1" s="531"/>
      <c r="AG1" s="531"/>
      <c r="AH1" s="531"/>
      <c r="AI1" s="531"/>
      <c r="AJ1" s="531"/>
      <c r="AK1" s="531"/>
      <c r="AL1" s="531"/>
      <c r="AM1" s="531"/>
      <c r="AN1" s="531"/>
    </row>
    <row r="2" spans="1:54">
      <c r="C2" s="476"/>
      <c r="D2" s="476"/>
      <c r="E2" s="476"/>
      <c r="F2" s="512"/>
      <c r="G2" s="512"/>
      <c r="H2" s="511"/>
      <c r="I2" s="511"/>
      <c r="J2" s="511"/>
      <c r="K2" s="511"/>
      <c r="L2" s="511"/>
      <c r="M2" s="511"/>
      <c r="N2" s="511"/>
      <c r="O2" s="511"/>
      <c r="P2" s="511"/>
      <c r="Q2" s="511"/>
      <c r="R2" s="511"/>
      <c r="S2" s="511"/>
      <c r="T2" s="511"/>
      <c r="U2" s="511"/>
      <c r="V2" s="511"/>
      <c r="W2" s="511"/>
      <c r="X2" s="532"/>
      <c r="Y2" s="532"/>
      <c r="Z2" s="532"/>
      <c r="AA2" s="532"/>
      <c r="AB2" s="532"/>
      <c r="AC2" s="532"/>
      <c r="AD2" s="532"/>
      <c r="AE2" s="532"/>
      <c r="AF2" s="532"/>
      <c r="AG2" s="532"/>
      <c r="AH2" s="532"/>
      <c r="AI2" s="532"/>
      <c r="AJ2" s="532"/>
      <c r="AK2" s="532"/>
      <c r="AL2" s="532"/>
      <c r="AM2" s="532"/>
      <c r="AN2" s="532"/>
    </row>
    <row r="3" spans="1:54" ht="15.75" thickBot="1">
      <c r="C3" s="476"/>
      <c r="D3" s="476"/>
      <c r="E3" s="476"/>
      <c r="F3" s="512"/>
      <c r="G3" s="512"/>
      <c r="H3" s="511"/>
      <c r="I3" s="511"/>
      <c r="J3" s="511"/>
      <c r="K3" s="511"/>
      <c r="L3" s="511"/>
      <c r="M3" s="511"/>
      <c r="N3" s="511"/>
      <c r="O3" s="511"/>
      <c r="P3" s="511"/>
      <c r="Q3" s="511"/>
      <c r="R3" s="511"/>
      <c r="S3" s="511"/>
      <c r="T3" s="511"/>
      <c r="U3" s="511"/>
      <c r="V3" s="511"/>
      <c r="W3" s="511"/>
      <c r="X3" s="532"/>
      <c r="Y3" s="532"/>
      <c r="Z3" s="532"/>
      <c r="AA3" s="532"/>
      <c r="AB3" s="532"/>
      <c r="AC3" s="532"/>
      <c r="AD3" s="532"/>
      <c r="AE3" s="532"/>
      <c r="AF3" s="532"/>
      <c r="AG3" s="532"/>
      <c r="AH3" s="532"/>
      <c r="AI3" s="532"/>
      <c r="AJ3" s="532"/>
      <c r="AK3" s="532"/>
      <c r="AL3" s="532"/>
      <c r="AM3" s="532"/>
      <c r="AN3" s="532"/>
    </row>
    <row r="4" spans="1:54" s="6" customFormat="1" ht="15.75" thickBot="1">
      <c r="C4" s="475" t="s">
        <v>6</v>
      </c>
      <c r="D4" s="1605" t="str">
        <f>DNB</f>
        <v>Naam distributienetbeheerder</v>
      </c>
      <c r="E4" s="1607"/>
      <c r="F4" s="478"/>
      <c r="G4" s="475"/>
      <c r="H4" s="475"/>
      <c r="I4" s="474"/>
      <c r="J4" s="474"/>
      <c r="K4" s="474"/>
      <c r="L4" s="474"/>
      <c r="M4" s="474"/>
      <c r="N4" s="474"/>
      <c r="O4" s="474"/>
      <c r="P4" s="474"/>
      <c r="Q4" s="474"/>
      <c r="R4" s="474"/>
      <c r="S4" s="474"/>
      <c r="T4" s="474"/>
      <c r="U4" s="474"/>
      <c r="V4" s="474"/>
      <c r="W4" s="474"/>
      <c r="X4" s="533"/>
      <c r="Y4" s="533"/>
      <c r="Z4" s="533"/>
      <c r="AA4" s="533"/>
      <c r="AB4" s="533"/>
      <c r="AC4" s="533"/>
      <c r="AD4" s="533"/>
      <c r="AE4" s="533"/>
      <c r="AF4" s="533"/>
      <c r="AG4" s="533"/>
      <c r="AH4" s="533"/>
      <c r="AI4" s="534"/>
      <c r="AJ4" s="295"/>
      <c r="AK4" s="295"/>
      <c r="AL4" s="295"/>
      <c r="AM4" s="295"/>
      <c r="AN4" s="295"/>
    </row>
    <row r="5" spans="1:54" s="6" customFormat="1">
      <c r="C5" s="476"/>
      <c r="D5" s="476"/>
      <c r="E5" s="476"/>
      <c r="F5" s="512"/>
      <c r="G5" s="512"/>
      <c r="H5" s="511"/>
      <c r="I5" s="511"/>
      <c r="J5" s="511"/>
      <c r="K5" s="511"/>
      <c r="L5" s="511"/>
      <c r="M5" s="511"/>
      <c r="N5" s="511"/>
      <c r="O5" s="511"/>
      <c r="P5" s="511"/>
      <c r="Q5" s="511"/>
      <c r="R5" s="511"/>
      <c r="S5" s="511"/>
      <c r="T5" s="511"/>
      <c r="U5" s="511"/>
      <c r="V5" s="511"/>
      <c r="W5" s="511"/>
      <c r="X5" s="532"/>
      <c r="Y5" s="532"/>
      <c r="Z5" s="532"/>
      <c r="AA5" s="532"/>
      <c r="AB5" s="532"/>
      <c r="AC5" s="532"/>
      <c r="AD5" s="532"/>
      <c r="AE5" s="532"/>
      <c r="AF5" s="532"/>
      <c r="AG5" s="532"/>
      <c r="AH5" s="532"/>
      <c r="AI5" s="532"/>
      <c r="AJ5" s="532"/>
      <c r="AK5" s="532"/>
      <c r="AL5" s="532"/>
      <c r="AM5" s="532"/>
      <c r="AN5" s="532"/>
      <c r="AO5" s="511"/>
      <c r="AP5" s="511"/>
      <c r="AQ5" s="511"/>
      <c r="AR5" s="511"/>
      <c r="AS5" s="511"/>
      <c r="AT5" s="511"/>
      <c r="AU5" s="511"/>
      <c r="AV5" s="511"/>
      <c r="AW5" s="511"/>
      <c r="AX5" s="511"/>
      <c r="AY5" s="511"/>
      <c r="AZ5" s="511"/>
      <c r="BA5" s="511"/>
      <c r="BB5" s="511"/>
    </row>
    <row r="6" spans="1:54" ht="15.75" thickBot="1">
      <c r="C6" s="510"/>
      <c r="D6" s="510"/>
      <c r="E6" s="500"/>
      <c r="F6" s="500"/>
      <c r="G6" s="509"/>
      <c r="H6" s="506"/>
      <c r="I6" s="506"/>
      <c r="J6" s="506"/>
      <c r="K6" s="506"/>
      <c r="L6" s="506"/>
      <c r="M6" s="506"/>
      <c r="N6" s="506"/>
      <c r="O6" s="506"/>
      <c r="P6" s="506"/>
      <c r="Q6" s="505"/>
      <c r="R6" s="505"/>
      <c r="S6" s="508"/>
      <c r="T6" s="508"/>
      <c r="U6" s="508"/>
      <c r="V6" s="508"/>
      <c r="W6" s="507"/>
      <c r="X6" s="535"/>
      <c r="Y6" s="535"/>
      <c r="Z6" s="535"/>
      <c r="AA6" s="536"/>
      <c r="AB6" s="536"/>
      <c r="AC6" s="536"/>
      <c r="AD6" s="536"/>
      <c r="AE6" s="536"/>
      <c r="AF6" s="536"/>
      <c r="AG6" s="537"/>
      <c r="AH6" s="537"/>
      <c r="AI6" s="537"/>
      <c r="AJ6" s="537"/>
      <c r="AK6" s="538"/>
      <c r="AL6" s="538"/>
      <c r="AM6" s="538"/>
      <c r="AN6" s="537"/>
    </row>
    <row r="7" spans="1:54">
      <c r="A7" s="1608" t="s">
        <v>125</v>
      </c>
      <c r="B7" s="1609"/>
      <c r="C7" s="1610"/>
      <c r="D7" s="1617" t="s">
        <v>123</v>
      </c>
      <c r="E7" s="1596" t="s">
        <v>384</v>
      </c>
      <c r="F7" s="1597"/>
      <c r="G7" s="1597"/>
      <c r="H7" s="1597"/>
      <c r="I7" s="1597"/>
      <c r="J7" s="1597"/>
      <c r="K7" s="1597"/>
      <c r="L7" s="1598"/>
      <c r="M7" s="1599" t="s">
        <v>383</v>
      </c>
      <c r="N7" s="457"/>
      <c r="O7" s="457"/>
      <c r="P7" s="457"/>
      <c r="Q7" s="457"/>
      <c r="R7" s="504"/>
      <c r="S7" s="504"/>
      <c r="T7" s="504"/>
      <c r="U7" s="504"/>
      <c r="V7" s="504"/>
      <c r="W7" s="504"/>
      <c r="X7" s="539"/>
      <c r="Y7" s="540"/>
      <c r="Z7" s="540"/>
      <c r="AA7" s="540"/>
      <c r="AB7" s="540"/>
      <c r="AC7" s="540"/>
      <c r="AD7" s="540"/>
      <c r="AE7" s="540"/>
      <c r="AF7" s="540"/>
      <c r="AG7" s="540"/>
      <c r="AH7" s="540"/>
      <c r="AI7" s="540"/>
      <c r="AJ7" s="537"/>
      <c r="AK7" s="537"/>
      <c r="AL7" s="538"/>
      <c r="AM7" s="538"/>
      <c r="AN7" s="538"/>
      <c r="AO7" s="457"/>
    </row>
    <row r="8" spans="1:54">
      <c r="A8" s="1611"/>
      <c r="B8" s="1612"/>
      <c r="C8" s="1613"/>
      <c r="D8" s="1618"/>
      <c r="E8" s="1602" t="s">
        <v>394</v>
      </c>
      <c r="F8" s="1603"/>
      <c r="G8" s="1603"/>
      <c r="H8" s="1603"/>
      <c r="I8" s="1603" t="s">
        <v>393</v>
      </c>
      <c r="J8" s="1603"/>
      <c r="K8" s="1603" t="s">
        <v>379</v>
      </c>
      <c r="L8" s="1604"/>
      <c r="M8" s="1600"/>
      <c r="X8" s="538"/>
      <c r="Y8" s="538"/>
      <c r="Z8" s="538"/>
      <c r="AA8" s="538"/>
      <c r="AB8" s="538"/>
      <c r="AC8" s="538"/>
      <c r="AD8" s="538"/>
      <c r="AE8" s="538"/>
      <c r="AF8" s="538"/>
      <c r="AG8" s="538"/>
      <c r="AH8" s="538"/>
      <c r="AI8" s="538"/>
      <c r="AJ8" s="537"/>
      <c r="AK8" s="537"/>
      <c r="AL8" s="538"/>
      <c r="AM8" s="538"/>
      <c r="AN8" s="538"/>
      <c r="AO8" s="500"/>
    </row>
    <row r="9" spans="1:54" ht="15.75" thickBot="1">
      <c r="A9" s="1614"/>
      <c r="B9" s="1615"/>
      <c r="C9" s="1616"/>
      <c r="D9" s="1619"/>
      <c r="E9" s="503" t="s">
        <v>392</v>
      </c>
      <c r="F9" s="502" t="s">
        <v>391</v>
      </c>
      <c r="G9" s="502" t="s">
        <v>390</v>
      </c>
      <c r="H9" s="502" t="s">
        <v>389</v>
      </c>
      <c r="I9" s="502" t="s">
        <v>388</v>
      </c>
      <c r="J9" s="502" t="s">
        <v>376</v>
      </c>
      <c r="K9" s="502" t="s">
        <v>387</v>
      </c>
      <c r="L9" s="501" t="s">
        <v>386</v>
      </c>
      <c r="M9" s="1601"/>
      <c r="X9" s="538"/>
      <c r="Y9" s="538"/>
      <c r="Z9" s="538"/>
      <c r="AA9" s="538"/>
      <c r="AB9" s="538"/>
      <c r="AC9" s="538"/>
      <c r="AD9" s="538"/>
      <c r="AE9" s="538"/>
      <c r="AF9" s="538"/>
      <c r="AG9" s="538"/>
      <c r="AH9" s="538"/>
      <c r="AI9" s="538"/>
      <c r="AJ9" s="537"/>
      <c r="AK9" s="537"/>
      <c r="AL9" s="538"/>
      <c r="AM9" s="538"/>
      <c r="AN9" s="538"/>
      <c r="AO9" s="457"/>
    </row>
    <row r="10" spans="1:54">
      <c r="A10" s="1620" t="s">
        <v>124</v>
      </c>
      <c r="B10" s="1621"/>
      <c r="C10" s="1622"/>
      <c r="D10" s="565">
        <f t="shared" ref="D10:D16" si="0">SUM($E10:$M10)</f>
        <v>0</v>
      </c>
      <c r="E10" s="1004"/>
      <c r="F10" s="1005"/>
      <c r="G10" s="1005"/>
      <c r="H10" s="1005"/>
      <c r="I10" s="1005"/>
      <c r="J10" s="1005"/>
      <c r="K10" s="1005"/>
      <c r="L10" s="1006"/>
      <c r="M10" s="1007"/>
      <c r="X10" s="538"/>
      <c r="Y10" s="538"/>
      <c r="Z10" s="538"/>
      <c r="AA10" s="538"/>
      <c r="AB10" s="538"/>
      <c r="AC10" s="538"/>
      <c r="AD10" s="538"/>
      <c r="AE10" s="538"/>
      <c r="AF10" s="538"/>
      <c r="AG10" s="538"/>
      <c r="AH10" s="538"/>
      <c r="AI10" s="538"/>
      <c r="AJ10" s="537"/>
      <c r="AK10" s="537"/>
      <c r="AL10" s="538"/>
      <c r="AM10" s="538"/>
      <c r="AN10" s="538"/>
      <c r="AO10" s="500"/>
    </row>
    <row r="11" spans="1:54">
      <c r="A11" s="1623" t="s">
        <v>7</v>
      </c>
      <c r="B11" s="1624"/>
      <c r="C11" s="1625"/>
      <c r="D11" s="565">
        <f t="shared" si="0"/>
        <v>0</v>
      </c>
      <c r="E11" s="1008"/>
      <c r="F11" s="1009"/>
      <c r="G11" s="1009"/>
      <c r="H11" s="1009"/>
      <c r="I11" s="1010"/>
      <c r="J11" s="1010"/>
      <c r="K11" s="1009"/>
      <c r="L11" s="1011"/>
      <c r="M11" s="1012"/>
      <c r="X11" s="538"/>
      <c r="Y11" s="538"/>
      <c r="Z11" s="538"/>
      <c r="AA11" s="538"/>
      <c r="AB11" s="538"/>
      <c r="AC11" s="538"/>
      <c r="AD11" s="538"/>
      <c r="AE11" s="538"/>
      <c r="AF11" s="538"/>
      <c r="AG11" s="538"/>
      <c r="AH11" s="538"/>
      <c r="AI11" s="538"/>
      <c r="AJ11" s="537"/>
      <c r="AK11" s="537"/>
      <c r="AL11" s="538"/>
      <c r="AM11" s="538"/>
      <c r="AN11" s="538"/>
      <c r="AO11" s="457"/>
    </row>
    <row r="12" spans="1:54">
      <c r="A12" s="1623" t="s">
        <v>8</v>
      </c>
      <c r="B12" s="1624"/>
      <c r="C12" s="1625"/>
      <c r="D12" s="565">
        <f t="shared" si="0"/>
        <v>0</v>
      </c>
      <c r="E12" s="1013"/>
      <c r="F12" s="1010"/>
      <c r="G12" s="1010"/>
      <c r="H12" s="1010"/>
      <c r="I12" s="1009"/>
      <c r="J12" s="1009"/>
      <c r="K12" s="1009"/>
      <c r="L12" s="1011"/>
      <c r="M12" s="1014"/>
      <c r="X12" s="538"/>
      <c r="Y12" s="538"/>
      <c r="Z12" s="538"/>
      <c r="AA12" s="538"/>
      <c r="AB12" s="538"/>
      <c r="AC12" s="538"/>
      <c r="AD12" s="538"/>
      <c r="AE12" s="538"/>
      <c r="AF12" s="538"/>
      <c r="AG12" s="538"/>
      <c r="AH12" s="538"/>
      <c r="AI12" s="538"/>
      <c r="AJ12" s="537"/>
      <c r="AK12" s="537"/>
      <c r="AL12" s="538"/>
      <c r="AM12" s="538"/>
      <c r="AN12" s="538"/>
      <c r="AO12" s="500"/>
    </row>
    <row r="13" spans="1:54">
      <c r="A13" s="1626" t="s">
        <v>398</v>
      </c>
      <c r="B13" s="1627"/>
      <c r="C13" s="1628"/>
      <c r="D13" s="565">
        <f t="shared" si="0"/>
        <v>0</v>
      </c>
      <c r="E13" s="1015"/>
      <c r="F13" s="1016"/>
      <c r="G13" s="1016"/>
      <c r="H13" s="1016"/>
      <c r="I13" s="1017"/>
      <c r="J13" s="1017"/>
      <c r="K13" s="1017"/>
      <c r="L13" s="1018"/>
      <c r="M13" s="1019"/>
      <c r="N13" s="457"/>
      <c r="O13" s="457"/>
      <c r="P13" s="457"/>
      <c r="Q13" s="457"/>
      <c r="R13" s="457"/>
      <c r="S13" s="457"/>
      <c r="T13" s="457"/>
      <c r="U13" s="457"/>
      <c r="V13" s="457"/>
      <c r="W13" s="457"/>
      <c r="X13" s="540"/>
      <c r="Y13" s="540"/>
      <c r="Z13" s="540"/>
      <c r="AA13" s="540"/>
      <c r="AB13" s="540"/>
      <c r="AC13" s="540"/>
      <c r="AD13" s="540"/>
      <c r="AE13" s="540"/>
      <c r="AF13" s="538"/>
      <c r="AG13" s="538"/>
      <c r="AH13" s="538"/>
      <c r="AI13" s="540"/>
      <c r="AJ13" s="537"/>
      <c r="AK13" s="537"/>
      <c r="AL13" s="538"/>
      <c r="AM13" s="538"/>
      <c r="AN13" s="538"/>
      <c r="AO13" s="457"/>
    </row>
    <row r="14" spans="1:54" ht="18">
      <c r="A14" s="1623" t="s">
        <v>397</v>
      </c>
      <c r="B14" s="1624"/>
      <c r="C14" s="1625"/>
      <c r="D14" s="565">
        <f t="shared" si="0"/>
        <v>0</v>
      </c>
      <c r="E14" s="1013"/>
      <c r="F14" s="1010"/>
      <c r="G14" s="1010"/>
      <c r="H14" s="1010"/>
      <c r="I14" s="1010"/>
      <c r="J14" s="1010"/>
      <c r="K14" s="1010"/>
      <c r="L14" s="1020"/>
      <c r="M14" s="1014"/>
      <c r="X14" s="538"/>
      <c r="Y14" s="538"/>
      <c r="Z14" s="538"/>
      <c r="AA14" s="538"/>
      <c r="AB14" s="538"/>
      <c r="AC14" s="538"/>
      <c r="AD14" s="538"/>
      <c r="AE14" s="538"/>
      <c r="AF14" s="538"/>
      <c r="AG14" s="538"/>
      <c r="AH14" s="538"/>
      <c r="AI14" s="538"/>
      <c r="AJ14" s="537"/>
      <c r="AK14" s="537"/>
      <c r="AL14" s="538"/>
      <c r="AM14" s="538"/>
      <c r="AN14" s="538"/>
      <c r="AO14" s="500"/>
    </row>
    <row r="15" spans="1:54" ht="18">
      <c r="A15" s="1623" t="s">
        <v>396</v>
      </c>
      <c r="B15" s="1624"/>
      <c r="C15" s="1625"/>
      <c r="D15" s="565">
        <f t="shared" si="0"/>
        <v>0</v>
      </c>
      <c r="E15" s="1021"/>
      <c r="F15" s="1022"/>
      <c r="G15" s="1022"/>
      <c r="H15" s="1022"/>
      <c r="I15" s="1022"/>
      <c r="J15" s="1022"/>
      <c r="K15" s="1022"/>
      <c r="L15" s="1023"/>
      <c r="M15" s="1024"/>
      <c r="X15" s="538"/>
      <c r="Y15" s="538"/>
      <c r="Z15" s="538"/>
      <c r="AA15" s="538"/>
      <c r="AB15" s="538"/>
      <c r="AC15" s="538"/>
      <c r="AD15" s="538"/>
      <c r="AE15" s="538"/>
      <c r="AF15" s="538"/>
      <c r="AG15" s="538"/>
      <c r="AH15" s="538"/>
      <c r="AI15" s="538"/>
      <c r="AJ15" s="537"/>
      <c r="AK15" s="537"/>
      <c r="AL15" s="538"/>
      <c r="AM15" s="538"/>
      <c r="AN15" s="538"/>
      <c r="AO15" s="500"/>
    </row>
    <row r="16" spans="1:54" ht="18.75" thickBot="1">
      <c r="A16" s="1629" t="s">
        <v>395</v>
      </c>
      <c r="B16" s="1630"/>
      <c r="C16" s="1631"/>
      <c r="D16" s="566">
        <f t="shared" si="0"/>
        <v>0</v>
      </c>
      <c r="E16" s="1025"/>
      <c r="F16" s="1026"/>
      <c r="G16" s="1026"/>
      <c r="H16" s="1026"/>
      <c r="I16" s="1027"/>
      <c r="J16" s="1027"/>
      <c r="K16" s="1026"/>
      <c r="L16" s="1028"/>
      <c r="M16" s="1029"/>
      <c r="X16" s="538"/>
      <c r="Y16" s="538"/>
      <c r="Z16" s="538"/>
      <c r="AA16" s="538"/>
      <c r="AB16" s="538"/>
      <c r="AC16" s="538"/>
      <c r="AD16" s="538"/>
      <c r="AE16" s="538"/>
      <c r="AF16" s="538"/>
      <c r="AG16" s="538"/>
      <c r="AH16" s="538"/>
      <c r="AI16" s="538"/>
      <c r="AJ16" s="537"/>
      <c r="AK16" s="537"/>
      <c r="AL16" s="538"/>
      <c r="AM16" s="538"/>
      <c r="AN16" s="538"/>
      <c r="AO16" s="457"/>
    </row>
    <row r="17" spans="1:41">
      <c r="X17" s="538"/>
      <c r="Y17" s="538"/>
      <c r="Z17" s="538"/>
      <c r="AA17" s="538"/>
      <c r="AB17" s="538"/>
      <c r="AC17" s="538"/>
      <c r="AD17" s="538"/>
      <c r="AE17" s="538"/>
      <c r="AF17" s="538"/>
      <c r="AG17" s="538"/>
      <c r="AH17" s="538"/>
      <c r="AI17" s="537"/>
      <c r="AJ17" s="537"/>
      <c r="AK17" s="538"/>
      <c r="AL17" s="538"/>
      <c r="AM17" s="538"/>
      <c r="AN17" s="540"/>
    </row>
    <row r="18" spans="1:41">
      <c r="X18" s="538"/>
      <c r="Y18" s="538"/>
      <c r="Z18" s="538"/>
      <c r="AA18" s="538"/>
      <c r="AB18" s="538"/>
      <c r="AC18" s="538"/>
      <c r="AD18" s="538"/>
      <c r="AE18" s="538"/>
      <c r="AF18" s="538"/>
      <c r="AG18" s="538"/>
      <c r="AH18" s="538"/>
      <c r="AI18" s="537"/>
      <c r="AJ18" s="537"/>
      <c r="AK18" s="538"/>
      <c r="AL18" s="538"/>
      <c r="AM18" s="538"/>
      <c r="AN18" s="540"/>
    </row>
    <row r="19" spans="1:41" ht="15.75" thickBot="1">
      <c r="X19" s="538"/>
      <c r="Y19" s="538"/>
      <c r="Z19" s="538"/>
      <c r="AA19" s="538"/>
      <c r="AB19" s="538"/>
      <c r="AC19" s="538"/>
      <c r="AD19" s="538"/>
      <c r="AE19" s="538"/>
      <c r="AF19" s="538"/>
      <c r="AG19" s="538"/>
      <c r="AH19" s="538"/>
      <c r="AI19" s="537"/>
      <c r="AJ19" s="537"/>
      <c r="AK19" s="538"/>
      <c r="AL19" s="538"/>
      <c r="AM19" s="538"/>
      <c r="AN19" s="540"/>
    </row>
    <row r="20" spans="1:41" ht="15" customHeight="1">
      <c r="A20" s="1587" t="s">
        <v>82</v>
      </c>
      <c r="B20" s="1588"/>
      <c r="C20" s="1589"/>
      <c r="D20" s="1589" t="s">
        <v>11</v>
      </c>
      <c r="E20" s="1596" t="s">
        <v>384</v>
      </c>
      <c r="F20" s="1597"/>
      <c r="G20" s="1597"/>
      <c r="H20" s="1597"/>
      <c r="I20" s="1597"/>
      <c r="J20" s="1597"/>
      <c r="K20" s="1597"/>
      <c r="L20" s="1598"/>
      <c r="M20" s="1599" t="s">
        <v>383</v>
      </c>
      <c r="X20" s="538"/>
      <c r="Y20" s="538"/>
      <c r="Z20" s="538"/>
      <c r="AA20" s="538"/>
      <c r="AB20" s="538"/>
      <c r="AC20" s="538"/>
      <c r="AD20" s="538"/>
      <c r="AE20" s="538"/>
      <c r="AF20" s="538"/>
      <c r="AG20" s="538"/>
      <c r="AH20" s="538"/>
      <c r="AI20" s="538"/>
      <c r="AJ20" s="537"/>
      <c r="AK20" s="537"/>
      <c r="AL20" s="538"/>
      <c r="AM20" s="538"/>
      <c r="AN20" s="538"/>
      <c r="AO20" s="457"/>
    </row>
    <row r="21" spans="1:41">
      <c r="A21" s="1590"/>
      <c r="B21" s="1591"/>
      <c r="C21" s="1592"/>
      <c r="D21" s="1592"/>
      <c r="E21" s="1602" t="s">
        <v>394</v>
      </c>
      <c r="F21" s="1603"/>
      <c r="G21" s="1603"/>
      <c r="H21" s="1603"/>
      <c r="I21" s="1603" t="s">
        <v>393</v>
      </c>
      <c r="J21" s="1603"/>
      <c r="K21" s="1603" t="s">
        <v>379</v>
      </c>
      <c r="L21" s="1604"/>
      <c r="M21" s="1600"/>
      <c r="X21" s="538"/>
      <c r="Y21" s="538"/>
      <c r="Z21" s="538"/>
      <c r="AA21" s="538"/>
      <c r="AB21" s="538"/>
      <c r="AC21" s="538"/>
      <c r="AD21" s="538"/>
      <c r="AE21" s="538"/>
      <c r="AF21" s="538"/>
      <c r="AG21" s="538"/>
      <c r="AH21" s="538"/>
      <c r="AI21" s="538"/>
      <c r="AJ21" s="537"/>
      <c r="AK21" s="537"/>
      <c r="AL21" s="538"/>
      <c r="AM21" s="538"/>
      <c r="AN21" s="538"/>
      <c r="AO21" s="457"/>
    </row>
    <row r="22" spans="1:41" ht="15.75" thickBot="1">
      <c r="A22" s="1593"/>
      <c r="B22" s="1594"/>
      <c r="C22" s="1595"/>
      <c r="D22" s="1595"/>
      <c r="E22" s="503" t="s">
        <v>392</v>
      </c>
      <c r="F22" s="502" t="s">
        <v>391</v>
      </c>
      <c r="G22" s="502" t="s">
        <v>390</v>
      </c>
      <c r="H22" s="502" t="s">
        <v>389</v>
      </c>
      <c r="I22" s="502" t="s">
        <v>388</v>
      </c>
      <c r="J22" s="502" t="s">
        <v>376</v>
      </c>
      <c r="K22" s="502" t="s">
        <v>387</v>
      </c>
      <c r="L22" s="501" t="s">
        <v>386</v>
      </c>
      <c r="M22" s="1601"/>
      <c r="X22" s="538"/>
      <c r="Y22" s="538"/>
      <c r="Z22" s="538"/>
      <c r="AA22" s="538"/>
      <c r="AB22" s="538"/>
      <c r="AC22" s="538"/>
      <c r="AD22" s="538"/>
      <c r="AE22" s="538"/>
      <c r="AF22" s="538"/>
      <c r="AG22" s="538"/>
      <c r="AH22" s="538"/>
      <c r="AI22" s="538"/>
      <c r="AJ22" s="537"/>
      <c r="AK22" s="537"/>
      <c r="AL22" s="538"/>
      <c r="AM22" s="538"/>
      <c r="AN22" s="538"/>
      <c r="AO22" s="500"/>
    </row>
    <row r="23" spans="1:41">
      <c r="A23" s="499"/>
      <c r="B23" s="498"/>
      <c r="C23" s="498"/>
      <c r="D23" s="560"/>
      <c r="E23" s="541"/>
      <c r="F23" s="542"/>
      <c r="G23" s="542"/>
      <c r="H23" s="542"/>
      <c r="I23" s="542"/>
      <c r="J23" s="542"/>
      <c r="K23" s="542"/>
      <c r="L23" s="543"/>
      <c r="M23" s="544"/>
    </row>
    <row r="24" spans="1:41">
      <c r="A24" s="469" t="s">
        <v>372</v>
      </c>
      <c r="B24" s="468" t="s">
        <v>371</v>
      </c>
      <c r="C24" s="468"/>
      <c r="D24" s="561"/>
      <c r="E24" s="541"/>
      <c r="F24" s="542"/>
      <c r="G24" s="542"/>
      <c r="H24" s="542"/>
      <c r="I24" s="542"/>
      <c r="J24" s="542"/>
      <c r="K24" s="542"/>
      <c r="L24" s="543"/>
      <c r="M24" s="544"/>
    </row>
    <row r="25" spans="1:41">
      <c r="A25" s="467"/>
      <c r="B25" s="465"/>
      <c r="C25" s="465"/>
      <c r="D25" s="561"/>
      <c r="E25" s="541"/>
      <c r="F25" s="542"/>
      <c r="G25" s="542"/>
      <c r="H25" s="542"/>
      <c r="I25" s="542"/>
      <c r="J25" s="542"/>
      <c r="K25" s="542"/>
      <c r="L25" s="543"/>
      <c r="M25" s="544"/>
    </row>
    <row r="26" spans="1:41">
      <c r="A26" s="466"/>
      <c r="B26" s="465" t="s">
        <v>370</v>
      </c>
      <c r="C26" s="465" t="s">
        <v>369</v>
      </c>
      <c r="D26" s="561">
        <f>SUM($E26:$M26)</f>
        <v>0</v>
      </c>
      <c r="E26" s="541">
        <f>'T7'!$E$13*$E$10+'T7'!$E$14*$E$14+'T7'!$E$15*$E$16</f>
        <v>0</v>
      </c>
      <c r="F26" s="542">
        <f>'T7'!F13*$F$10+'T7'!F14*$F$14+'T7'!F15*$F$16</f>
        <v>0</v>
      </c>
      <c r="G26" s="542">
        <f>'T7'!$G$13*$G$10+'T7'!$G$14*$G$14+'T7'!$G$15*$G$16</f>
        <v>0</v>
      </c>
      <c r="H26" s="542">
        <f>'T7'!$H$13*$H$10+'T7'!$H$14*$H$14+'T7'!$H$15*$H$16</f>
        <v>0</v>
      </c>
      <c r="I26" s="542">
        <f>'T7'!$I$13*$I$10+'T7'!$I$14*$I$14+'T7'!$I$15*$I$16</f>
        <v>0</v>
      </c>
      <c r="J26" s="542">
        <f>'T7'!$J$13*$J$10+'T7'!$J$14*$J$14+'T7'!$J$15*$J$16</f>
        <v>0</v>
      </c>
      <c r="K26" s="542">
        <f>'T7'!$K$13*$K$10+'T7'!$K$14*$K$14+'T7'!$K$15*$K$16</f>
        <v>0</v>
      </c>
      <c r="L26" s="543">
        <f>'T7'!$L$13*$L$10+'T7'!$L$14*$L$14+'T7'!$L$15*$L$16</f>
        <v>0</v>
      </c>
      <c r="M26" s="545"/>
    </row>
    <row r="27" spans="1:41">
      <c r="A27" s="467"/>
      <c r="B27" s="465"/>
      <c r="C27" s="465"/>
      <c r="D27" s="560"/>
      <c r="E27" s="541"/>
      <c r="F27" s="542"/>
      <c r="G27" s="542"/>
      <c r="H27" s="542"/>
      <c r="I27" s="542"/>
      <c r="J27" s="542"/>
      <c r="K27" s="542"/>
      <c r="L27" s="543"/>
      <c r="M27" s="544"/>
    </row>
    <row r="28" spans="1:41">
      <c r="A28" s="466"/>
      <c r="B28" s="465" t="s">
        <v>368</v>
      </c>
      <c r="C28" s="465" t="s">
        <v>367</v>
      </c>
      <c r="D28" s="561">
        <f>SUM($E28:$M28)</f>
        <v>0</v>
      </c>
      <c r="E28" s="546"/>
      <c r="F28" s="547"/>
      <c r="G28" s="547"/>
      <c r="H28" s="547"/>
      <c r="I28" s="547"/>
      <c r="J28" s="547"/>
      <c r="K28" s="547"/>
      <c r="L28" s="548"/>
      <c r="M28" s="544">
        <f>'T7'!$M$17*$M$15</f>
        <v>0</v>
      </c>
    </row>
    <row r="29" spans="1:41">
      <c r="A29" s="467"/>
      <c r="B29" s="465"/>
      <c r="C29" s="465"/>
      <c r="D29" s="561"/>
      <c r="E29" s="541"/>
      <c r="F29" s="542"/>
      <c r="G29" s="542"/>
      <c r="H29" s="542"/>
      <c r="I29" s="542"/>
      <c r="J29" s="542"/>
      <c r="K29" s="542"/>
      <c r="L29" s="543"/>
      <c r="M29" s="544"/>
    </row>
    <row r="30" spans="1:41">
      <c r="A30" s="466"/>
      <c r="B30" s="465" t="s">
        <v>366</v>
      </c>
      <c r="C30" s="464" t="s">
        <v>365</v>
      </c>
      <c r="D30" s="561">
        <f>SUM($E30:$M30)</f>
        <v>0</v>
      </c>
      <c r="E30" s="549">
        <f>'T7'!$E$19*$E$11+'T7'!$E$20*$E$12+'T7'!$E$21*$E$13</f>
        <v>0</v>
      </c>
      <c r="F30" s="550">
        <f>'T7'!$F$19*$F$11+'T7'!$F$20*$F$12+'T7'!$F$21*$F$13</f>
        <v>0</v>
      </c>
      <c r="G30" s="550">
        <f>'T7'!$G$19*$G$11+'T7'!$G$20*$G$12+'T7'!$G$21*$G$13</f>
        <v>0</v>
      </c>
      <c r="H30" s="550">
        <f>'T7'!$H$19*$H$11+'T7'!$H$20*$H$12+'T7'!$H$21*$H$13</f>
        <v>0</v>
      </c>
      <c r="I30" s="550">
        <f>'T7'!$I$19*$I$11+'T7'!$I$20*$I$12+'T7'!$I$21*$I$13</f>
        <v>0</v>
      </c>
      <c r="J30" s="550">
        <f>'T7'!$J$19*$J$11+'T7'!$J$20*$J$12+'T7'!$J$21*$J$13</f>
        <v>0</v>
      </c>
      <c r="K30" s="553"/>
      <c r="L30" s="554"/>
      <c r="M30" s="552">
        <f>'T7'!$M$19*$M$11+'T7'!$M$20*$M$12+'T7'!$M$21*$M$13</f>
        <v>0</v>
      </c>
    </row>
    <row r="31" spans="1:41">
      <c r="A31" s="467"/>
      <c r="B31" s="465"/>
      <c r="C31" s="465"/>
      <c r="D31" s="562"/>
      <c r="E31" s="549"/>
      <c r="F31" s="550"/>
      <c r="G31" s="550"/>
      <c r="H31" s="550"/>
      <c r="I31" s="550"/>
      <c r="J31" s="550"/>
      <c r="K31" s="550"/>
      <c r="L31" s="551"/>
      <c r="M31" s="552"/>
    </row>
    <row r="32" spans="1:41">
      <c r="A32" s="469" t="s">
        <v>364</v>
      </c>
      <c r="B32" s="468" t="s">
        <v>363</v>
      </c>
      <c r="C32" s="468"/>
      <c r="D32" s="561">
        <f>SUM($E32:$M32)</f>
        <v>0</v>
      </c>
      <c r="E32" s="549">
        <f>'T7'!$E$23*$E$14</f>
        <v>0</v>
      </c>
      <c r="F32" s="550">
        <f>'T7'!$F$23*$F$14</f>
        <v>0</v>
      </c>
      <c r="G32" s="550">
        <f>'T7'!$G$23*$G$14</f>
        <v>0</v>
      </c>
      <c r="H32" s="553"/>
      <c r="I32" s="553"/>
      <c r="J32" s="553"/>
      <c r="K32" s="553"/>
      <c r="L32" s="554"/>
      <c r="M32" s="555"/>
    </row>
    <row r="33" spans="1:13">
      <c r="A33" s="467"/>
      <c r="B33" s="465"/>
      <c r="C33" s="465"/>
      <c r="D33" s="562"/>
      <c r="E33" s="549"/>
      <c r="F33" s="550"/>
      <c r="G33" s="550"/>
      <c r="H33" s="550"/>
      <c r="I33" s="550"/>
      <c r="J33" s="550"/>
      <c r="K33" s="550"/>
      <c r="L33" s="551"/>
      <c r="M33" s="552"/>
    </row>
    <row r="34" spans="1:13">
      <c r="A34" s="469" t="s">
        <v>362</v>
      </c>
      <c r="B34" s="468" t="s">
        <v>9</v>
      </c>
      <c r="C34" s="468"/>
      <c r="D34" s="562"/>
      <c r="E34" s="549"/>
      <c r="F34" s="550"/>
      <c r="G34" s="550"/>
      <c r="H34" s="550"/>
      <c r="I34" s="550"/>
      <c r="J34" s="550"/>
      <c r="K34" s="550"/>
      <c r="L34" s="551"/>
      <c r="M34" s="552"/>
    </row>
    <row r="35" spans="1:13">
      <c r="A35" s="467"/>
      <c r="B35" s="465"/>
      <c r="C35" s="465"/>
      <c r="D35" s="562"/>
      <c r="E35" s="549"/>
      <c r="F35" s="550"/>
      <c r="G35" s="550"/>
      <c r="H35" s="550"/>
      <c r="I35" s="550"/>
      <c r="J35" s="550"/>
      <c r="K35" s="550"/>
      <c r="L35" s="551"/>
      <c r="M35" s="552"/>
    </row>
    <row r="36" spans="1:13">
      <c r="A36" s="466"/>
      <c r="B36" s="465" t="s">
        <v>361</v>
      </c>
      <c r="C36" s="465" t="s">
        <v>360</v>
      </c>
      <c r="D36" s="561">
        <f>SUM($E36:$M36)</f>
        <v>0</v>
      </c>
      <c r="E36" s="549">
        <f>'T7'!$E$27*$E$14</f>
        <v>0</v>
      </c>
      <c r="F36" s="550">
        <f>'T7'!$F$27*$F$14</f>
        <v>0</v>
      </c>
      <c r="G36" s="550">
        <f>'T7'!$G$27*$G$14</f>
        <v>0</v>
      </c>
      <c r="H36" s="550">
        <f>'T7'!$H$27*$H$14</f>
        <v>0</v>
      </c>
      <c r="I36" s="550">
        <f>'T7'!$I$27*$I$14</f>
        <v>0</v>
      </c>
      <c r="J36" s="550">
        <f>'T7'!$J$27*$J$14</f>
        <v>0</v>
      </c>
      <c r="K36" s="553"/>
      <c r="L36" s="554"/>
      <c r="M36" s="555"/>
    </row>
    <row r="37" spans="1:13">
      <c r="A37" s="466"/>
      <c r="B37" s="465" t="s">
        <v>359</v>
      </c>
      <c r="C37" s="464" t="s">
        <v>358</v>
      </c>
      <c r="D37" s="561">
        <f>SUM($E37:$M37)</f>
        <v>0</v>
      </c>
      <c r="E37" s="549">
        <f>'T7'!$E$28*$E$14</f>
        <v>0</v>
      </c>
      <c r="F37" s="550">
        <f>'T7'!$F$28*$F$14</f>
        <v>0</v>
      </c>
      <c r="G37" s="550">
        <f>'T7'!$G$28*$G$14</f>
        <v>0</v>
      </c>
      <c r="H37" s="550">
        <f>'T7'!$H$28*$H$14</f>
        <v>0</v>
      </c>
      <c r="I37" s="550">
        <f>'T7'!$I$28*$I$14</f>
        <v>0</v>
      </c>
      <c r="J37" s="550">
        <f>'T7'!$J$28*$J$14</f>
        <v>0</v>
      </c>
      <c r="K37" s="553"/>
      <c r="L37" s="554"/>
      <c r="M37" s="555"/>
    </row>
    <row r="38" spans="1:13" ht="15.75" thickBot="1">
      <c r="A38" s="459"/>
      <c r="B38" s="458"/>
      <c r="C38" s="458"/>
      <c r="D38" s="563"/>
      <c r="E38" s="556"/>
      <c r="F38" s="557"/>
      <c r="G38" s="557"/>
      <c r="H38" s="557"/>
      <c r="I38" s="557"/>
      <c r="J38" s="557"/>
      <c r="K38" s="557"/>
      <c r="L38" s="558"/>
      <c r="M38" s="559"/>
    </row>
    <row r="39" spans="1:13" ht="15.75" thickBot="1">
      <c r="A39" s="485"/>
      <c r="B39" s="484"/>
      <c r="C39" s="529" t="s">
        <v>11</v>
      </c>
      <c r="D39" s="564">
        <f>SUBTOTAL(109,D$23:D$38)</f>
        <v>0</v>
      </c>
      <c r="E39" s="556">
        <f>SUBTOTAL(109,E$23:E$38)</f>
        <v>0</v>
      </c>
      <c r="F39" s="557">
        <f t="shared" ref="F39:M39" si="1">SUBTOTAL(109,F$23:F$38)</f>
        <v>0</v>
      </c>
      <c r="G39" s="557">
        <f t="shared" si="1"/>
        <v>0</v>
      </c>
      <c r="H39" s="557">
        <f t="shared" si="1"/>
        <v>0</v>
      </c>
      <c r="I39" s="557">
        <f t="shared" si="1"/>
        <v>0</v>
      </c>
      <c r="J39" s="557">
        <f t="shared" si="1"/>
        <v>0</v>
      </c>
      <c r="K39" s="557">
        <f t="shared" si="1"/>
        <v>0</v>
      </c>
      <c r="L39" s="558">
        <f t="shared" si="1"/>
        <v>0</v>
      </c>
      <c r="M39" s="559">
        <f t="shared" si="1"/>
        <v>0</v>
      </c>
    </row>
  </sheetData>
  <sheetProtection algorithmName="SHA-512" hashValue="pUzWe7vUoklZkV88JCoL3YYGG0f5JVjavdUbLVXz0NeXbpdNAewLP+27mhcNTpUc6zm6psCDDbc5yK6UI7DCcA==" saltValue="mJaaaxE2pKx0SHADN/3kmw==" spinCount="100000" sheet="1" objects="1" scenarios="1"/>
  <mergeCells count="23">
    <mergeCell ref="M20:M22"/>
    <mergeCell ref="E21:H21"/>
    <mergeCell ref="I21:J21"/>
    <mergeCell ref="K21:L21"/>
    <mergeCell ref="A15:C15"/>
    <mergeCell ref="A16:C16"/>
    <mergeCell ref="A20:C22"/>
    <mergeCell ref="D20:D22"/>
    <mergeCell ref="E20:L20"/>
    <mergeCell ref="A10:C10"/>
    <mergeCell ref="A11:C11"/>
    <mergeCell ref="A12:C12"/>
    <mergeCell ref="A13:C13"/>
    <mergeCell ref="A14:C14"/>
    <mergeCell ref="A1:M1"/>
    <mergeCell ref="D4:E4"/>
    <mergeCell ref="A7:C9"/>
    <mergeCell ref="D7:D9"/>
    <mergeCell ref="E7:L7"/>
    <mergeCell ref="M7:M9"/>
    <mergeCell ref="E8:H8"/>
    <mergeCell ref="I8:J8"/>
    <mergeCell ref="K8:L8"/>
  </mergeCells>
  <pageMargins left="0.70866141732283472" right="0.70866141732283472" top="0.74803149606299213" bottom="0.74803149606299213" header="0.31496062992125984" footer="0.31496062992125984"/>
  <pageSetup paperSize="8" scale="35" orientation="landscape" r:id="rId1"/>
  <colBreaks count="1" manualBreakCount="1">
    <brk id="23" max="1048575" man="1"/>
  </col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514F72-73B6-45A8-A2D2-6A0B6F3399FE}">
  <sheetPr published="0">
    <tabColor rgb="FFD8E4BC"/>
  </sheetPr>
  <dimension ref="A1"/>
  <sheetViews>
    <sheetView workbookViewId="0"/>
  </sheetViews>
  <sheetFormatPr defaultRowHeight="15"/>
  <sheetData/>
  <sheetProtection algorithmName="SHA-512" hashValue="nADPpTREfrhoMyJAvd/L0RsSTKNm4MwieRe4PxeF/TLZukCqiX4uw4GG0shIZyE4gbQIU/b/vMUCZ5d9zweBaA==" saltValue="n5bsaJg1Ivn3mkOytVbrxw==" spinCount="100000" sheet="1" objects="1" scenarios="1"/>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EA6AED-5543-44C2-B6A4-39BBE66531CF}">
  <sheetPr published="0">
    <pageSetUpPr fitToPage="1"/>
  </sheetPr>
  <dimension ref="A1:Q63"/>
  <sheetViews>
    <sheetView showGridLines="0" zoomScaleNormal="100" zoomScaleSheetLayoutView="70" workbookViewId="0">
      <selection activeCell="A2" sqref="A2"/>
    </sheetView>
  </sheetViews>
  <sheetFormatPr defaultColWidth="9.140625" defaultRowHeight="15"/>
  <cols>
    <col min="1" max="1" width="3.85546875" style="1030" bestFit="1" customWidth="1"/>
    <col min="2" max="2" width="91" style="1035" customWidth="1"/>
    <col min="3" max="3" width="1.5703125" style="1" customWidth="1"/>
    <col min="4" max="4" width="16" style="1036" customWidth="1"/>
    <col min="5" max="5" width="1.5703125" style="1" customWidth="1"/>
    <col min="6" max="6" width="15.5703125" style="1" customWidth="1"/>
    <col min="7" max="7" width="1.5703125" style="1" customWidth="1"/>
    <col min="8" max="9" width="15.5703125" style="60" customWidth="1"/>
    <col min="10" max="10" width="1.5703125" style="1" customWidth="1"/>
    <col min="11" max="11" width="15.5703125" style="1" customWidth="1"/>
    <col min="12" max="12" width="1.5703125" style="1" customWidth="1"/>
    <col min="13" max="13" width="15.5703125" style="1" customWidth="1"/>
    <col min="14" max="14" width="1.5703125" style="1" customWidth="1"/>
    <col min="15" max="17" width="15.5703125" style="1" customWidth="1"/>
    <col min="18" max="18" width="9.140625" style="1" customWidth="1"/>
    <col min="19" max="16384" width="9.140625" style="1"/>
  </cols>
  <sheetData>
    <row r="1" spans="1:17" ht="16.5" thickBot="1">
      <c r="A1" s="1632" t="str">
        <f>DNB&amp;" - ELEKTRICITEIT - Tarieflijst periodieke distributienettarieven "&amp;JAAR&amp;" - Afname"</f>
        <v>Naam distributienetbeheerder - ELEKTRICITEIT - Tarieflijst periodieke distributienettarieven 2022 - Afname</v>
      </c>
      <c r="B1" s="1633"/>
      <c r="C1" s="1633"/>
      <c r="D1" s="1633"/>
      <c r="E1" s="1633"/>
      <c r="F1" s="1633"/>
      <c r="G1" s="1633"/>
      <c r="H1" s="1633"/>
      <c r="I1" s="1633"/>
      <c r="J1" s="1633"/>
      <c r="K1" s="1633"/>
      <c r="L1" s="1633"/>
      <c r="M1" s="1633"/>
      <c r="N1" s="1633"/>
      <c r="O1" s="1633"/>
      <c r="P1" s="1633"/>
      <c r="Q1" s="1634"/>
    </row>
    <row r="2" spans="1:17">
      <c r="B2" s="1031"/>
      <c r="D2" s="1032"/>
      <c r="E2" s="1033"/>
      <c r="F2" s="1034"/>
    </row>
    <row r="3" spans="1:17" ht="15.75" thickBot="1"/>
    <row r="4" spans="1:17" ht="15.75" thickBot="1">
      <c r="F4" s="1037" t="s">
        <v>483</v>
      </c>
      <c r="G4" s="136"/>
      <c r="H4" s="1635" t="s">
        <v>482</v>
      </c>
      <c r="I4" s="1636"/>
      <c r="J4" s="136"/>
      <c r="K4" s="1037" t="s">
        <v>481</v>
      </c>
      <c r="L4" s="136"/>
      <c r="M4" s="1263" t="s">
        <v>480</v>
      </c>
      <c r="N4" s="136"/>
      <c r="O4" s="1637" t="s">
        <v>452</v>
      </c>
      <c r="P4" s="1638"/>
      <c r="Q4" s="1639"/>
    </row>
    <row r="5" spans="1:17" ht="60.75" thickBot="1">
      <c r="F5" s="1038"/>
      <c r="H5" s="1039" t="s">
        <v>426</v>
      </c>
      <c r="I5" s="1040" t="s">
        <v>479</v>
      </c>
      <c r="K5" s="1038"/>
      <c r="M5" s="1264" t="s">
        <v>478</v>
      </c>
      <c r="O5" s="1041" t="s">
        <v>478</v>
      </c>
      <c r="P5" s="1042" t="s">
        <v>477</v>
      </c>
      <c r="Q5" s="1043" t="s">
        <v>476</v>
      </c>
    </row>
    <row r="6" spans="1:17">
      <c r="A6" s="1044">
        <v>1</v>
      </c>
      <c r="B6" s="1045" t="s">
        <v>420</v>
      </c>
      <c r="C6" s="1046"/>
      <c r="D6" s="1047"/>
      <c r="E6" s="1048"/>
      <c r="F6" s="1049"/>
      <c r="G6" s="1050"/>
      <c r="H6" s="1051"/>
      <c r="I6" s="1052"/>
      <c r="J6" s="1050"/>
      <c r="K6" s="1049"/>
      <c r="L6" s="1050"/>
      <c r="M6" s="1049"/>
      <c r="N6" s="1050"/>
      <c r="O6" s="1051"/>
      <c r="P6" s="1053"/>
      <c r="Q6" s="1054"/>
    </row>
    <row r="7" spans="1:17">
      <c r="A7" s="1055" t="s">
        <v>419</v>
      </c>
      <c r="B7" s="1642" t="s">
        <v>475</v>
      </c>
      <c r="C7" s="1642"/>
      <c r="D7" s="1643"/>
      <c r="E7" s="1056"/>
      <c r="F7" s="1057"/>
      <c r="G7" s="1058"/>
      <c r="H7" s="1059"/>
      <c r="I7" s="1060"/>
      <c r="J7" s="1058"/>
      <c r="K7" s="1057"/>
      <c r="L7" s="1058"/>
      <c r="M7" s="1057"/>
      <c r="N7" s="1058"/>
      <c r="O7" s="1059"/>
      <c r="P7" s="1061"/>
      <c r="Q7" s="1062"/>
    </row>
    <row r="8" spans="1:17">
      <c r="A8" s="1055"/>
      <c r="B8" s="591" t="s">
        <v>474</v>
      </c>
      <c r="D8" s="1063" t="s">
        <v>582</v>
      </c>
      <c r="F8" s="1064" t="e">
        <f>ROUND(F$9/12,7)</f>
        <v>#DIV/0!</v>
      </c>
      <c r="G8" s="517"/>
      <c r="H8" s="1065" t="e">
        <f>ROUND(H$9/12,7)</f>
        <v>#DIV/0!</v>
      </c>
      <c r="I8" s="1066" t="e">
        <f>ROUND(I$9/12,7)</f>
        <v>#VALUE!</v>
      </c>
      <c r="J8" s="517"/>
      <c r="K8" s="1067" t="e">
        <f>ROUND(K$9/12,7)</f>
        <v>#VALUE!</v>
      </c>
      <c r="L8" s="517"/>
      <c r="M8" s="1067" t="e">
        <f>ROUND(M$9/12,7)</f>
        <v>#VALUE!</v>
      </c>
      <c r="N8" s="517"/>
      <c r="O8" s="518"/>
      <c r="P8" s="515"/>
      <c r="Q8" s="516"/>
    </row>
    <row r="9" spans="1:17">
      <c r="A9" s="1055"/>
      <c r="B9" s="1273" t="s">
        <v>583</v>
      </c>
      <c r="D9" s="1268" t="s">
        <v>417</v>
      </c>
      <c r="F9" s="1269" t="e">
        <f>ROUND(INDEX(Tabel4B[Afnameklanten op TRHS],1),7)</f>
        <v>#DIV/0!</v>
      </c>
      <c r="G9" s="517"/>
      <c r="H9" s="1270" t="e">
        <f>ROUND(INDEX(Tabel4B[Afnameklanten op &gt;26-36 kV met AV ≥ 5MVA],1),7)</f>
        <v>#DIV/0!</v>
      </c>
      <c r="I9" s="1271" t="e">
        <f>ROUND(INDEX(Tabel4B[Afnameklanten op &gt;26-36 kV met AV &lt; 5MVA],1),7)</f>
        <v>#VALUE!</v>
      </c>
      <c r="J9" s="517"/>
      <c r="K9" s="1272" t="e">
        <f>ROUND(INDEX(Tabel4B[Afnameklanten op 26-1kV],1),7)</f>
        <v>#VALUE!</v>
      </c>
      <c r="L9" s="517"/>
      <c r="M9" s="1272" t="e">
        <f>ROUND(INDEX(Tabel4B[Afnameklanten op TRLS],1),7)</f>
        <v>#VALUE!</v>
      </c>
      <c r="N9" s="517"/>
      <c r="O9" s="518"/>
      <c r="P9" s="515"/>
      <c r="Q9" s="516"/>
    </row>
    <row r="10" spans="1:17">
      <c r="A10" s="1055"/>
      <c r="B10" s="591" t="s">
        <v>473</v>
      </c>
      <c r="D10" s="1063" t="s">
        <v>412</v>
      </c>
      <c r="F10" s="1064" t="e">
        <f>ROUND(INDEX(Tabel4B[Afnameklanten op TRHS],2),7)</f>
        <v>#DIV/0!</v>
      </c>
      <c r="G10" s="517"/>
      <c r="H10" s="1065" t="e">
        <f>ROUND(INDEX(Tabel4B[Afnameklanten op &gt;26-36 kV met AV ≥ 5MVA],2),7)</f>
        <v>#DIV/0!</v>
      </c>
      <c r="I10" s="1066" t="e">
        <f>ROUND(INDEX(Tabel4B[Afnameklanten op &gt;26-36 kV met AV &lt; 5MVA],2),7)</f>
        <v>#VALUE!</v>
      </c>
      <c r="J10" s="517"/>
      <c r="K10" s="1067" t="e">
        <f>ROUND(INDEX(Tabel4B[Afnameklanten op 26-1kV],2),7)</f>
        <v>#VALUE!</v>
      </c>
      <c r="L10" s="517"/>
      <c r="M10" s="1067" t="e">
        <f>ROUND(INDEX(Tabel4B[Afnameklanten op TRLS],2),7)</f>
        <v>#VALUE!</v>
      </c>
      <c r="N10" s="517"/>
      <c r="O10" s="518"/>
      <c r="P10" s="515"/>
      <c r="Q10" s="516"/>
    </row>
    <row r="11" spans="1:17">
      <c r="A11" s="1055"/>
      <c r="B11" s="593" t="s">
        <v>472</v>
      </c>
      <c r="D11" s="1063" t="s">
        <v>412</v>
      </c>
      <c r="F11" s="1064" t="e">
        <f>ROUND(INDEX(Tabel4B[Afnameklanten op TRHS],3),7)</f>
        <v>#DIV/0!</v>
      </c>
      <c r="G11" s="517"/>
      <c r="H11" s="1065" t="e">
        <f>ROUND(INDEX(Tabel4B[Afnameklanten op &gt;26-36 kV met AV ≥ 5MVA],3),7)</f>
        <v>#DIV/0!</v>
      </c>
      <c r="I11" s="1066" t="e">
        <f>ROUND(INDEX(Tabel4B[Afnameklanten op &gt;26-36 kV met AV &lt; 5MVA],3),7)</f>
        <v>#VALUE!</v>
      </c>
      <c r="J11" s="517"/>
      <c r="K11" s="1067" t="e">
        <f>ROUND(INDEX(Tabel4B[Afnameklanten op 26-1kV],3),7)</f>
        <v>#VALUE!</v>
      </c>
      <c r="L11" s="517"/>
      <c r="M11" s="1067" t="e">
        <f>ROUND(INDEX(Tabel4B[Afnameklanten op TRLS],3),7)</f>
        <v>#VALUE!</v>
      </c>
      <c r="N11" s="517"/>
      <c r="O11" s="518"/>
      <c r="P11" s="515"/>
      <c r="Q11" s="516"/>
    </row>
    <row r="12" spans="1:17">
      <c r="A12" s="1055" t="s">
        <v>416</v>
      </c>
      <c r="B12" s="1642" t="s">
        <v>471</v>
      </c>
      <c r="C12" s="1642"/>
      <c r="D12" s="1643"/>
      <c r="E12" s="1056"/>
      <c r="F12" s="1064"/>
      <c r="G12" s="517"/>
      <c r="H12" s="1065"/>
      <c r="I12" s="1066"/>
      <c r="J12" s="517"/>
      <c r="K12" s="1067"/>
      <c r="L12" s="517"/>
      <c r="M12" s="1067"/>
      <c r="N12" s="517"/>
      <c r="O12" s="1068"/>
      <c r="P12" s="1069"/>
      <c r="Q12" s="1070"/>
    </row>
    <row r="13" spans="1:17">
      <c r="A13" s="1055"/>
      <c r="B13" s="593" t="s">
        <v>470</v>
      </c>
      <c r="D13" s="1063" t="s">
        <v>435</v>
      </c>
      <c r="F13" s="519"/>
      <c r="G13" s="517"/>
      <c r="H13" s="518"/>
      <c r="I13" s="520"/>
      <c r="J13" s="517"/>
      <c r="K13" s="519"/>
      <c r="L13" s="517"/>
      <c r="M13" s="519"/>
      <c r="N13" s="517"/>
      <c r="O13" s="1068" t="e">
        <f>ROUND(INDEX(Tabel4B[Afnameklanten op LS met piekmeting],4),7)</f>
        <v>#DIV/0!</v>
      </c>
      <c r="P13" s="515"/>
      <c r="Q13" s="516"/>
    </row>
    <row r="14" spans="1:17">
      <c r="A14" s="1055"/>
      <c r="B14" s="1273" t="s">
        <v>583</v>
      </c>
      <c r="D14" s="1268" t="s">
        <v>412</v>
      </c>
      <c r="F14" s="519"/>
      <c r="G14" s="517"/>
      <c r="H14" s="518"/>
      <c r="I14" s="520"/>
      <c r="J14" s="517"/>
      <c r="K14" s="519"/>
      <c r="L14" s="517"/>
      <c r="M14" s="519"/>
      <c r="N14" s="517"/>
      <c r="O14" s="1274" t="e">
        <f>ROUND(O$13/12,7)</f>
        <v>#DIV/0!</v>
      </c>
      <c r="P14" s="515"/>
      <c r="Q14" s="516"/>
    </row>
    <row r="15" spans="1:17">
      <c r="A15" s="1055"/>
      <c r="B15" s="1071" t="s">
        <v>433</v>
      </c>
      <c r="D15" s="1063" t="s">
        <v>399</v>
      </c>
      <c r="F15" s="519"/>
      <c r="G15" s="517"/>
      <c r="H15" s="518"/>
      <c r="I15" s="520"/>
      <c r="J15" s="517"/>
      <c r="K15" s="519"/>
      <c r="L15" s="517"/>
      <c r="M15" s="519"/>
      <c r="N15" s="517"/>
      <c r="O15" s="1068" t="e">
        <f>ROUND(INDEX(Tabel4B[Afnameklanten op LS met piekmeting],6),7)</f>
        <v>#DIV/0!</v>
      </c>
      <c r="P15" s="515"/>
      <c r="Q15" s="516"/>
    </row>
    <row r="16" spans="1:17">
      <c r="A16" s="1055" t="s">
        <v>414</v>
      </c>
      <c r="B16" s="1642" t="s">
        <v>575</v>
      </c>
      <c r="C16" s="1642"/>
      <c r="D16" s="1643"/>
      <c r="E16" s="1056"/>
      <c r="F16" s="1064"/>
      <c r="G16" s="517"/>
      <c r="H16" s="1065"/>
      <c r="I16" s="1066"/>
      <c r="J16" s="517"/>
      <c r="K16" s="1067"/>
      <c r="L16" s="517"/>
      <c r="M16" s="1067"/>
      <c r="N16" s="517"/>
      <c r="O16" s="1068"/>
      <c r="P16" s="1069"/>
      <c r="Q16" s="1070"/>
    </row>
    <row r="17" spans="1:17">
      <c r="A17" s="1055"/>
      <c r="B17" s="593" t="s">
        <v>469</v>
      </c>
      <c r="D17" s="1072" t="s">
        <v>447</v>
      </c>
      <c r="F17" s="521"/>
      <c r="G17" s="522"/>
      <c r="H17" s="523"/>
      <c r="I17" s="524"/>
      <c r="J17" s="522"/>
      <c r="K17" s="521"/>
      <c r="L17" s="522"/>
      <c r="M17" s="521"/>
      <c r="N17" s="522"/>
      <c r="O17" s="523"/>
      <c r="P17" s="1073" t="e">
        <f>ROUND(INDEX(Tabel4B[Afnameklanten op LS met klassieke meter],5),2)</f>
        <v>#DIV/0!</v>
      </c>
      <c r="Q17" s="1085" t="e">
        <f>ROUND(INDEX(Tabel4B[Afnameklanten op LS met klassieke meter],5),2)</f>
        <v>#DIV/0!</v>
      </c>
    </row>
    <row r="18" spans="1:17">
      <c r="A18" s="1055"/>
      <c r="B18" s="591" t="s">
        <v>433</v>
      </c>
      <c r="D18" s="1072" t="s">
        <v>399</v>
      </c>
      <c r="F18" s="519"/>
      <c r="G18" s="517"/>
      <c r="H18" s="518"/>
      <c r="I18" s="520"/>
      <c r="J18" s="517"/>
      <c r="K18" s="519"/>
      <c r="L18" s="517"/>
      <c r="M18" s="519"/>
      <c r="N18" s="517"/>
      <c r="O18" s="518"/>
      <c r="P18" s="1069" t="e">
        <f>ROUND(INDEX(Tabel4B[Afnameklanten op LS met klassieke meter],6),7)</f>
        <v>#DIV/0!</v>
      </c>
      <c r="Q18" s="1070" t="e">
        <f>ROUND(INDEX(Tabel4B[Afnameklanten op LS met klassieke meter],6),7)</f>
        <v>#DIV/0!</v>
      </c>
    </row>
    <row r="19" spans="1:17">
      <c r="A19" s="1055"/>
      <c r="B19" s="1640"/>
      <c r="C19" s="1640"/>
      <c r="D19" s="1641"/>
      <c r="F19" s="1067"/>
      <c r="G19" s="517"/>
      <c r="H19" s="1068"/>
      <c r="I19" s="1077"/>
      <c r="J19" s="517"/>
      <c r="K19" s="1067"/>
      <c r="L19" s="517"/>
      <c r="M19" s="1067"/>
      <c r="N19" s="517"/>
      <c r="O19" s="1068"/>
      <c r="P19" s="1069"/>
      <c r="Q19" s="1070"/>
    </row>
    <row r="20" spans="1:17">
      <c r="A20" s="1055">
        <v>2</v>
      </c>
      <c r="B20" s="1078" t="s">
        <v>468</v>
      </c>
      <c r="C20" s="1078"/>
      <c r="D20" s="1079"/>
      <c r="F20" s="1067"/>
      <c r="G20" s="517"/>
      <c r="H20" s="1068"/>
      <c r="I20" s="1077"/>
      <c r="J20" s="517"/>
      <c r="K20" s="1067"/>
      <c r="L20" s="517"/>
      <c r="M20" s="1067"/>
      <c r="N20" s="517"/>
      <c r="O20" s="1068"/>
      <c r="P20" s="1069"/>
      <c r="Q20" s="1070"/>
    </row>
    <row r="21" spans="1:17">
      <c r="A21" s="1055"/>
      <c r="B21" s="591" t="s">
        <v>467</v>
      </c>
      <c r="D21" s="1063"/>
      <c r="F21" s="1300"/>
      <c r="G21" s="517"/>
      <c r="H21" s="1301"/>
      <c r="I21" s="1302"/>
      <c r="J21" s="517"/>
      <c r="K21" s="1300"/>
      <c r="L21" s="517"/>
      <c r="M21" s="1300"/>
      <c r="N21" s="517"/>
      <c r="O21" s="518"/>
      <c r="P21" s="515"/>
      <c r="Q21" s="516"/>
    </row>
    <row r="22" spans="1:17">
      <c r="A22" s="1055"/>
      <c r="B22" s="593" t="s">
        <v>466</v>
      </c>
      <c r="D22" s="1063" t="s">
        <v>408</v>
      </c>
      <c r="F22" s="1067" t="e">
        <f>ROUND(INDEX(Tabel4B[Afnameklanten op TRHS],8),7)</f>
        <v>#VALUE!</v>
      </c>
      <c r="G22" s="517"/>
      <c r="H22" s="1065" t="e">
        <f>ROUND(INDEX(Tabel4B[Afnameklanten op &gt;26-36 kV met AV ≥ 5MVA],8),7)</f>
        <v>#VALUE!</v>
      </c>
      <c r="I22" s="1066" t="e">
        <f>ROUND(INDEX(Tabel4B[Afnameklanten op &gt;26-36 kV met AV &lt; 5MVA],8),7)</f>
        <v>#VALUE!</v>
      </c>
      <c r="J22" s="517"/>
      <c r="K22" s="1067" t="e">
        <f>ROUND(INDEX(Tabel4B[Afnameklanten op 26-1kV],8),7)</f>
        <v>#VALUE!</v>
      </c>
      <c r="L22" s="517"/>
      <c r="M22" s="1067" t="e">
        <f>ROUND(INDEX(Tabel4B[Afnameklanten op TRLS],8),7)</f>
        <v>#VALUE!</v>
      </c>
      <c r="N22" s="517"/>
      <c r="O22" s="518"/>
      <c r="P22" s="515"/>
      <c r="Q22" s="516"/>
    </row>
    <row r="23" spans="1:17">
      <c r="A23" s="1055"/>
      <c r="D23" s="1063"/>
      <c r="F23" s="1067"/>
      <c r="G23" s="517"/>
      <c r="H23" s="1065"/>
      <c r="I23" s="1066"/>
      <c r="J23" s="517"/>
      <c r="K23" s="1067"/>
      <c r="L23" s="517"/>
      <c r="M23" s="1067"/>
      <c r="N23" s="517"/>
      <c r="O23" s="1068"/>
      <c r="P23" s="1069"/>
      <c r="Q23" s="1070"/>
    </row>
    <row r="24" spans="1:17">
      <c r="A24" s="1055">
        <v>3</v>
      </c>
      <c r="B24" s="1031" t="s">
        <v>465</v>
      </c>
      <c r="D24" s="1063"/>
      <c r="F24" s="1067"/>
      <c r="G24" s="517"/>
      <c r="H24" s="1065"/>
      <c r="I24" s="1066"/>
      <c r="J24" s="517"/>
      <c r="K24" s="1067"/>
      <c r="L24" s="517"/>
      <c r="M24" s="1067"/>
      <c r="N24" s="517"/>
      <c r="O24" s="1068"/>
      <c r="P24" s="1069"/>
      <c r="Q24" s="1070"/>
    </row>
    <row r="25" spans="1:17">
      <c r="A25" s="1080"/>
      <c r="B25" s="591" t="s">
        <v>565</v>
      </c>
      <c r="D25" s="1063" t="s">
        <v>406</v>
      </c>
      <c r="F25" s="1081" t="e">
        <f>ROUND(INDEX(Tabel4B[Afnameklanten op TRHS],9),2)</f>
        <v>#DIV/0!</v>
      </c>
      <c r="G25" s="522"/>
      <c r="H25" s="1082" t="e">
        <f>ROUND(INDEX(Tabel4B[Afnameklanten op &gt;26-36 kV met AV ≥ 5MVA],9),2)</f>
        <v>#DIV/0!</v>
      </c>
      <c r="I25" s="1083" t="e">
        <f>ROUND(INDEX(Tabel4B[Afnameklanten op &gt;26-36 kV met AV &lt; 5MVA],9),2)</f>
        <v>#DIV/0!</v>
      </c>
      <c r="J25" s="522"/>
      <c r="K25" s="1081" t="e">
        <f>ROUND(INDEX(Tabel4B[Afnameklanten op 26-1kV],9),2)</f>
        <v>#DIV/0!</v>
      </c>
      <c r="L25" s="522"/>
      <c r="M25" s="1081" t="e">
        <f>ROUND(INDEX(Tabel4B[Afnameklanten op TRLS],9),2)</f>
        <v>#DIV/0!</v>
      </c>
      <c r="N25" s="522"/>
      <c r="O25" s="1084" t="e">
        <f>ROUND(INDEX(Tabel4B[Afnameklanten op LS met piekmeting],9),2)</f>
        <v>#DIV/0!</v>
      </c>
      <c r="P25" s="525"/>
      <c r="Q25" s="526"/>
    </row>
    <row r="26" spans="1:17">
      <c r="A26" s="1080"/>
      <c r="B26" s="591" t="s">
        <v>566</v>
      </c>
      <c r="D26" s="1063" t="s">
        <v>406</v>
      </c>
      <c r="F26" s="521"/>
      <c r="G26" s="522"/>
      <c r="H26" s="523"/>
      <c r="I26" s="524"/>
      <c r="J26" s="522"/>
      <c r="K26" s="521"/>
      <c r="L26" s="522"/>
      <c r="M26" s="521"/>
      <c r="N26" s="522"/>
      <c r="O26" s="1084" t="e">
        <f>ROUND(INDEX(Tabel4B[Afnameklanten op LS met piekmeting],12),2)</f>
        <v>#DIV/0!</v>
      </c>
      <c r="P26" s="525"/>
      <c r="Q26" s="526"/>
    </row>
    <row r="27" spans="1:17">
      <c r="A27" s="1080"/>
      <c r="B27" s="591" t="s">
        <v>567</v>
      </c>
      <c r="D27" s="1063" t="s">
        <v>406</v>
      </c>
      <c r="F27" s="521"/>
      <c r="G27" s="522"/>
      <c r="H27" s="523"/>
      <c r="I27" s="524"/>
      <c r="J27" s="522"/>
      <c r="K27" s="521"/>
      <c r="L27" s="522"/>
      <c r="M27" s="521"/>
      <c r="N27" s="522"/>
      <c r="O27" s="1084" t="e">
        <f>ROUND(INDEX(Tabel4B[Afnameklanten op LS met piekmeting],11),2)</f>
        <v>#DIV/0!</v>
      </c>
      <c r="P27" s="1073" t="e">
        <f>ROUND(INDEX(Tabel4B[Afnameklanten op LS met klassieke meter],13),2)</f>
        <v>#DIV/0!</v>
      </c>
      <c r="Q27" s="1085" t="e">
        <f>ROUND(INDEX(Tabel4B[Afnameklanten op LS met klassieke meter],13),2)</f>
        <v>#DIV/0!</v>
      </c>
    </row>
    <row r="28" spans="1:17">
      <c r="A28" s="1055"/>
      <c r="D28" s="1063"/>
      <c r="F28" s="1067"/>
      <c r="G28" s="517"/>
      <c r="H28" s="1065"/>
      <c r="I28" s="1066"/>
      <c r="J28" s="517"/>
      <c r="K28" s="1067"/>
      <c r="L28" s="517"/>
      <c r="M28" s="1067"/>
      <c r="N28" s="517"/>
      <c r="O28" s="1068"/>
      <c r="P28" s="1069"/>
      <c r="Q28" s="1070"/>
    </row>
    <row r="29" spans="1:17">
      <c r="A29" s="1055">
        <v>4</v>
      </c>
      <c r="B29" s="1031" t="s">
        <v>464</v>
      </c>
      <c r="D29" s="1063"/>
      <c r="F29" s="1067"/>
      <c r="G29" s="517"/>
      <c r="H29" s="1065"/>
      <c r="I29" s="1066"/>
      <c r="J29" s="517"/>
      <c r="K29" s="1067"/>
      <c r="L29" s="517"/>
      <c r="M29" s="1067"/>
      <c r="N29" s="517"/>
      <c r="O29" s="1068"/>
      <c r="P29" s="1069"/>
      <c r="Q29" s="1070"/>
    </row>
    <row r="30" spans="1:17">
      <c r="A30" s="1055"/>
      <c r="B30" s="1035" t="s">
        <v>463</v>
      </c>
      <c r="D30" s="1063" t="s">
        <v>399</v>
      </c>
      <c r="F30" s="1064" t="e">
        <f>ROUND(INDEX(Tabel4B[Afnameklanten op TRHS],15),7)</f>
        <v>#VALUE!</v>
      </c>
      <c r="G30" s="517"/>
      <c r="H30" s="1065" t="e">
        <f>ROUND(INDEX(Tabel4B[Afnameklanten op &gt;26-36 kV met AV ≥ 5MVA],15),7)</f>
        <v>#VALUE!</v>
      </c>
      <c r="I30" s="1066" t="e">
        <f>ROUND(INDEX(Tabel4B[Afnameklanten op &gt;26-36 kV met AV &lt; 5MVA],15),7)</f>
        <v>#VALUE!</v>
      </c>
      <c r="J30" s="517"/>
      <c r="K30" s="1067" t="e">
        <f>ROUND(INDEX(Tabel4B[Afnameklanten op 26-1kV],15),7)</f>
        <v>#VALUE!</v>
      </c>
      <c r="L30" s="517"/>
      <c r="M30" s="1067" t="e">
        <f>ROUND(INDEX(Tabel4B[Afnameklanten op TRLS],15),7)</f>
        <v>#VALUE!</v>
      </c>
      <c r="N30" s="517"/>
      <c r="O30" s="1068" t="e">
        <f>ROUND(INDEX(Tabel4B[Afnameklanten op LS met piekmeting],15),7)</f>
        <v>#VALUE!</v>
      </c>
      <c r="P30" s="1069" t="e">
        <f>ROUND(INDEX(Tabel4B[Afnameklanten op LS met klassieke meter],15),7)</f>
        <v>#VALUE!</v>
      </c>
      <c r="Q30" s="1070" t="e">
        <f>ROUND(INDEX(Tabel4B[Afnameklanten op LS met klassieke meter],15),7)</f>
        <v>#VALUE!</v>
      </c>
    </row>
    <row r="31" spans="1:17">
      <c r="A31" s="1055"/>
      <c r="B31" s="1035" t="s">
        <v>432</v>
      </c>
      <c r="D31" s="1063" t="s">
        <v>399</v>
      </c>
      <c r="F31" s="519"/>
      <c r="G31" s="517"/>
      <c r="H31" s="518"/>
      <c r="I31" s="520"/>
      <c r="J31" s="517"/>
      <c r="K31" s="519"/>
      <c r="L31" s="517"/>
      <c r="M31" s="1067" t="e">
        <f>ROUND(INDEX(Tabel4B[Afnameklanten op TRLS],16),7)</f>
        <v>#VALUE!</v>
      </c>
      <c r="N31" s="517"/>
      <c r="O31" s="1068" t="e">
        <f>ROUND(INDEX(Tabel4B[Afnameklanten op LS met piekmeting],16),7)</f>
        <v>#VALUE!</v>
      </c>
      <c r="P31" s="1069" t="e">
        <f>ROUND(INDEX(Tabel4B[Afnameklanten op LS met klassieke meter],16),7)</f>
        <v>#VALUE!</v>
      </c>
      <c r="Q31" s="1070" t="e">
        <f>ROUND(INDEX(Tabel4B[Afnameklanten op LS met klassieke meter],16),7)</f>
        <v>#VALUE!</v>
      </c>
    </row>
    <row r="32" spans="1:17">
      <c r="A32" s="1055"/>
      <c r="D32" s="1063"/>
      <c r="F32" s="1064"/>
      <c r="G32" s="517"/>
      <c r="H32" s="1065"/>
      <c r="I32" s="1066"/>
      <c r="J32" s="517"/>
      <c r="K32" s="1067"/>
      <c r="L32" s="517"/>
      <c r="M32" s="1067"/>
      <c r="N32" s="517"/>
      <c r="O32" s="1068"/>
      <c r="P32" s="1069"/>
      <c r="Q32" s="1070"/>
    </row>
    <row r="33" spans="1:17">
      <c r="A33" s="1055">
        <v>5</v>
      </c>
      <c r="B33" s="1031" t="s">
        <v>462</v>
      </c>
      <c r="D33" s="1063" t="s">
        <v>399</v>
      </c>
      <c r="F33" s="1064" t="e">
        <f>ROUND(INDEX(Tabel4B[Afnameklanten op TRHS],17),7)</f>
        <v>#VALUE!</v>
      </c>
      <c r="G33" s="517"/>
      <c r="H33" s="1065" t="e">
        <f>ROUND(INDEX(Tabel4B[Afnameklanten op &gt;26-36 kV met AV ≥ 5MVA],17),7)</f>
        <v>#VALUE!</v>
      </c>
      <c r="I33" s="1066" t="e">
        <f>ROUND(INDEX(Tabel4B[Afnameklanten op &gt;26-36 kV met AV &lt; 5MVA],17),7)</f>
        <v>#VALUE!</v>
      </c>
      <c r="J33" s="517"/>
      <c r="K33" s="1067" t="e">
        <f>ROUND(INDEX(Tabel4B[Afnameklanten op 26-1kV],17),7)</f>
        <v>#VALUE!</v>
      </c>
      <c r="L33" s="517"/>
      <c r="M33" s="1067" t="e">
        <f>ROUND(INDEX(Tabel4B[Afnameklanten op TRLS],17),7)</f>
        <v>#VALUE!</v>
      </c>
      <c r="N33" s="517"/>
      <c r="O33" s="1068" t="e">
        <f>ROUND(INDEX(Tabel4B[Afnameklanten op LS met piekmeting],17),7)</f>
        <v>#VALUE!</v>
      </c>
      <c r="P33" s="1069" t="e">
        <f>ROUND(INDEX(Tabel4B[Afnameklanten op LS met klassieke meter],17),7)</f>
        <v>#VALUE!</v>
      </c>
      <c r="Q33" s="1070" t="e">
        <f>ROUND(INDEX(Tabel4B[Afnameklanten op LS met klassieke meter],17),7)</f>
        <v>#VALUE!</v>
      </c>
    </row>
    <row r="34" spans="1:17">
      <c r="A34" s="1055"/>
      <c r="D34" s="1063"/>
      <c r="F34" s="1064"/>
      <c r="G34" s="517"/>
      <c r="H34" s="1065"/>
      <c r="I34" s="1066"/>
      <c r="J34" s="517"/>
      <c r="K34" s="1067"/>
      <c r="L34" s="517"/>
      <c r="M34" s="1067"/>
      <c r="N34" s="517"/>
      <c r="O34" s="1068"/>
      <c r="P34" s="1069"/>
      <c r="Q34" s="1070"/>
    </row>
    <row r="35" spans="1:17">
      <c r="A35" s="1055">
        <v>6</v>
      </c>
      <c r="B35" s="1031" t="s">
        <v>403</v>
      </c>
      <c r="D35" s="1063" t="s">
        <v>399</v>
      </c>
      <c r="F35" s="1067" t="e">
        <f>ROUND(SUM(F$37:F$38),7)</f>
        <v>#DIV/0!</v>
      </c>
      <c r="G35" s="517"/>
      <c r="H35" s="1065" t="e">
        <f>ROUND(SUM(H$37:H$38),7)</f>
        <v>#DIV/0!</v>
      </c>
      <c r="I35" s="1066" t="e">
        <f>ROUND(SUM(I$37:I$38),7)</f>
        <v>#DIV/0!</v>
      </c>
      <c r="J35" s="517"/>
      <c r="K35" s="1067" t="e">
        <f>ROUND(SUM(K$37:K$38),7)</f>
        <v>#DIV/0!</v>
      </c>
      <c r="L35" s="517"/>
      <c r="M35" s="1067" t="e">
        <f>ROUND(SUM(M$37:M$38),7)</f>
        <v>#DIV/0!</v>
      </c>
      <c r="N35" s="517"/>
      <c r="O35" s="1068" t="e">
        <f>ROUND(SUM(O$37:O$38),7)</f>
        <v>#DIV/0!</v>
      </c>
      <c r="P35" s="1069" t="e">
        <f>ROUND(SUM(P$37:P$38),7)</f>
        <v>#DIV/0!</v>
      </c>
      <c r="Q35" s="1070" t="e">
        <f>ROUND(SUM(Q$37:Q$38),7)</f>
        <v>#DIV/0!</v>
      </c>
    </row>
    <row r="36" spans="1:17">
      <c r="A36" s="1055"/>
      <c r="B36" s="591" t="s">
        <v>402</v>
      </c>
      <c r="D36" s="1063"/>
      <c r="F36" s="1067"/>
      <c r="G36" s="517"/>
      <c r="H36" s="1065"/>
      <c r="I36" s="1066"/>
      <c r="J36" s="517"/>
      <c r="K36" s="1067"/>
      <c r="L36" s="517"/>
      <c r="M36" s="1067"/>
      <c r="N36" s="517"/>
      <c r="O36" s="1068"/>
      <c r="P36" s="1069"/>
      <c r="Q36" s="1070"/>
    </row>
    <row r="37" spans="1:17">
      <c r="A37" s="1055"/>
      <c r="B37" s="1086" t="s">
        <v>539</v>
      </c>
      <c r="D37" s="1063" t="s">
        <v>399</v>
      </c>
      <c r="F37" s="1067" t="e">
        <f>ROUND(INDEX(Tabel4B[Afnameklanten op TRHS],19),7)</f>
        <v>#DIV/0!</v>
      </c>
      <c r="G37" s="517"/>
      <c r="H37" s="1065" t="e">
        <f>ROUND(INDEX(Tabel4B[Afnameklanten op &gt;26-36 kV met AV ≥ 5MVA],19),7)</f>
        <v>#DIV/0!</v>
      </c>
      <c r="I37" s="1066" t="e">
        <f>ROUND(INDEX(Tabel4B[Afnameklanten op &gt;26-36 kV met AV &lt; 5MVA],19),7)</f>
        <v>#DIV/0!</v>
      </c>
      <c r="J37" s="517"/>
      <c r="K37" s="1067" t="e">
        <f>ROUND(INDEX(Tabel4B[Afnameklanten op 26-1kV],19),7)</f>
        <v>#DIV/0!</v>
      </c>
      <c r="L37" s="517"/>
      <c r="M37" s="1067" t="e">
        <f>ROUND(INDEX(Tabel4B[Afnameklanten op TRLS],19),7)</f>
        <v>#DIV/0!</v>
      </c>
      <c r="N37" s="517"/>
      <c r="O37" s="1068" t="e">
        <f>ROUND(INDEX(Tabel4B[Afnameklanten op LS met piekmeting],19),7)</f>
        <v>#DIV/0!</v>
      </c>
      <c r="P37" s="1069" t="e">
        <f>ROUND(INDEX(Tabel4B[Afnameklanten op LS met klassieke meter],19),7)</f>
        <v>#DIV/0!</v>
      </c>
      <c r="Q37" s="1070" t="e">
        <f>ROUND(INDEX(Tabel4B[Afnameklanten op LS met klassieke meter],19),7)</f>
        <v>#DIV/0!</v>
      </c>
    </row>
    <row r="38" spans="1:17">
      <c r="A38" s="1055"/>
      <c r="B38" s="1" t="s">
        <v>401</v>
      </c>
      <c r="D38" s="1063" t="s">
        <v>399</v>
      </c>
      <c r="F38" s="1067" t="e">
        <f>ROUND(INDEX(Tabel4B[Afnameklanten op TRHS],20),7)</f>
        <v>#DIV/0!</v>
      </c>
      <c r="G38" s="517"/>
      <c r="H38" s="1065" t="e">
        <f>ROUND(INDEX(Tabel4B[Afnameklanten op &gt;26-36 kV met AV ≥ 5MVA],20),7)</f>
        <v>#DIV/0!</v>
      </c>
      <c r="I38" s="1066" t="e">
        <f>ROUND(INDEX(Tabel4B[Afnameklanten op &gt;26-36 kV met AV &lt; 5MVA],20),7)</f>
        <v>#DIV/0!</v>
      </c>
      <c r="J38" s="517"/>
      <c r="K38" s="1067" t="e">
        <f>ROUND(INDEX(Tabel4B[Afnameklanten op 26-1kV],20),7)</f>
        <v>#DIV/0!</v>
      </c>
      <c r="L38" s="517"/>
      <c r="M38" s="1067" t="e">
        <f>ROUND(INDEX(Tabel4B[Afnameklanten op TRLS],20),7)</f>
        <v>#DIV/0!</v>
      </c>
      <c r="N38" s="517"/>
      <c r="O38" s="1068" t="e">
        <f>ROUND(INDEX(Tabel4B[Afnameklanten op LS met piekmeting],20),7)</f>
        <v>#DIV/0!</v>
      </c>
      <c r="P38" s="1069" t="e">
        <f>ROUND(INDEX(Tabel4B[Afnameklanten op LS met klassieke meter],20),7)</f>
        <v>#DIV/0!</v>
      </c>
      <c r="Q38" s="1070" t="e">
        <f>ROUND(INDEX(Tabel4B[Afnameklanten op LS met klassieke meter],20),7)</f>
        <v>#DIV/0!</v>
      </c>
    </row>
    <row r="39" spans="1:17">
      <c r="A39" s="1055"/>
      <c r="B39" s="1031"/>
      <c r="D39" s="1063"/>
      <c r="F39" s="1067"/>
      <c r="G39" s="517"/>
      <c r="H39" s="1065"/>
      <c r="I39" s="1066"/>
      <c r="J39" s="517"/>
      <c r="K39" s="1067"/>
      <c r="L39" s="517"/>
      <c r="M39" s="1067"/>
      <c r="N39" s="517"/>
      <c r="O39" s="1068"/>
      <c r="P39" s="1069"/>
      <c r="Q39" s="1070"/>
    </row>
    <row r="40" spans="1:17">
      <c r="A40" s="1055">
        <v>7</v>
      </c>
      <c r="B40" s="1031" t="s">
        <v>461</v>
      </c>
      <c r="D40" s="1063" t="s">
        <v>435</v>
      </c>
      <c r="F40" s="519"/>
      <c r="G40" s="517"/>
      <c r="H40" s="518"/>
      <c r="I40" s="520"/>
      <c r="J40" s="517"/>
      <c r="K40" s="519"/>
      <c r="L40" s="517"/>
      <c r="M40" s="519"/>
      <c r="N40" s="517"/>
      <c r="O40" s="518"/>
      <c r="P40" s="515"/>
      <c r="Q40" s="1070" t="e">
        <f>ROUND(INDEX(Tabel4B[Prosumenten met terugdraaiende teller op LS],21),2)</f>
        <v>#DIV/0!</v>
      </c>
    </row>
    <row r="41" spans="1:17">
      <c r="A41" s="1055"/>
      <c r="B41" s="1074"/>
      <c r="D41" s="1063"/>
      <c r="F41" s="1064"/>
      <c r="G41" s="517"/>
      <c r="H41" s="1065"/>
      <c r="I41" s="1066"/>
      <c r="J41" s="517"/>
      <c r="K41" s="1067"/>
      <c r="L41" s="517"/>
      <c r="M41" s="1067"/>
      <c r="N41" s="517"/>
      <c r="O41" s="1068"/>
      <c r="P41" s="1069"/>
      <c r="Q41" s="1070"/>
    </row>
    <row r="42" spans="1:17" ht="15.75" thickBot="1">
      <c r="A42" s="1087"/>
      <c r="B42" s="1088" t="s">
        <v>460</v>
      </c>
      <c r="C42" s="1089"/>
      <c r="D42" s="1090" t="s">
        <v>399</v>
      </c>
      <c r="F42" s="1091">
        <f>'Max Afname TRHS'!$O$15</f>
        <v>0</v>
      </c>
      <c r="G42" s="517"/>
      <c r="H42" s="1092">
        <f>'Max Afname TRHS'!$O$15</f>
        <v>0</v>
      </c>
      <c r="I42" s="1093">
        <f>'Max Afname MS'!$O$15</f>
        <v>0</v>
      </c>
      <c r="J42" s="517"/>
      <c r="K42" s="1091">
        <f>'Max Afname MS'!$O$15</f>
        <v>0</v>
      </c>
      <c r="L42" s="517"/>
      <c r="M42" s="1091">
        <f>'Max Afname TRLS'!$O$15</f>
        <v>0</v>
      </c>
      <c r="N42" s="517"/>
      <c r="O42" s="1094">
        <f>'Max Afname LS'!$K$14</f>
        <v>0</v>
      </c>
      <c r="P42" s="527"/>
      <c r="Q42" s="528"/>
    </row>
    <row r="44" spans="1:17">
      <c r="A44" s="1277"/>
      <c r="B44" s="1278"/>
      <c r="C44" s="1279"/>
      <c r="D44" s="1280"/>
      <c r="E44" s="1279"/>
      <c r="F44" s="1279"/>
      <c r="G44" s="1279"/>
      <c r="H44" s="1281"/>
      <c r="I44" s="1281"/>
      <c r="J44" s="1279"/>
      <c r="K44" s="1279"/>
      <c r="L44" s="1279"/>
      <c r="M44" s="1279"/>
      <c r="N44" s="1279"/>
      <c r="O44" s="1279"/>
      <c r="P44" s="1279"/>
      <c r="Q44" s="1279"/>
    </row>
    <row r="45" spans="1:17">
      <c r="A45" s="1277"/>
      <c r="B45" s="1278"/>
      <c r="C45" s="1279"/>
      <c r="D45" s="1280"/>
      <c r="E45" s="1279"/>
      <c r="F45" s="1279"/>
      <c r="G45" s="1279"/>
      <c r="H45" s="1281"/>
      <c r="I45" s="1281"/>
      <c r="J45" s="1279"/>
      <c r="K45" s="1279"/>
      <c r="L45" s="1279"/>
      <c r="M45" s="1279"/>
      <c r="N45" s="1279"/>
      <c r="O45" s="1279"/>
      <c r="P45" s="1279"/>
      <c r="Q45" s="1279"/>
    </row>
    <row r="46" spans="1:17">
      <c r="A46" s="1277"/>
      <c r="B46" s="1278"/>
      <c r="C46" s="1279"/>
      <c r="D46" s="1280"/>
      <c r="E46" s="1279"/>
      <c r="F46" s="1279"/>
      <c r="G46" s="1279"/>
      <c r="H46" s="1281"/>
      <c r="I46" s="1281"/>
      <c r="J46" s="1279"/>
      <c r="K46" s="1279"/>
      <c r="L46" s="1279"/>
      <c r="M46" s="1279"/>
      <c r="N46" s="1279"/>
      <c r="O46" s="1279"/>
      <c r="P46" s="1279"/>
      <c r="Q46" s="1279"/>
    </row>
    <row r="47" spans="1:17">
      <c r="A47" s="1277"/>
      <c r="B47" s="1278"/>
      <c r="C47" s="1279"/>
      <c r="D47" s="1280"/>
      <c r="E47" s="1279"/>
      <c r="F47" s="1279"/>
      <c r="G47" s="1279"/>
      <c r="H47" s="1281"/>
      <c r="I47" s="1281"/>
      <c r="J47" s="1279"/>
      <c r="K47" s="1279"/>
      <c r="L47" s="1279"/>
      <c r="M47" s="1279"/>
      <c r="N47" s="1279"/>
      <c r="O47" s="1279"/>
      <c r="P47" s="1279"/>
      <c r="Q47" s="1279"/>
    </row>
    <row r="48" spans="1:17">
      <c r="A48" s="1277"/>
      <c r="B48" s="1278"/>
      <c r="C48" s="1279"/>
      <c r="D48" s="1280"/>
      <c r="E48" s="1279"/>
      <c r="F48" s="1279"/>
      <c r="G48" s="1279"/>
      <c r="H48" s="1281"/>
      <c r="I48" s="1281"/>
      <c r="J48" s="1279"/>
      <c r="K48" s="1279"/>
      <c r="L48" s="1279"/>
      <c r="M48" s="1279"/>
      <c r="N48" s="1279"/>
      <c r="O48" s="1279"/>
      <c r="P48" s="1279"/>
      <c r="Q48" s="1279"/>
    </row>
    <row r="49" spans="1:17">
      <c r="A49" s="1277"/>
      <c r="B49" s="1278"/>
      <c r="C49" s="1279"/>
      <c r="D49" s="1280"/>
      <c r="E49" s="1279"/>
      <c r="F49" s="1279"/>
      <c r="G49" s="1279"/>
      <c r="H49" s="1281"/>
      <c r="I49" s="1281"/>
      <c r="J49" s="1279"/>
      <c r="K49" s="1279"/>
      <c r="L49" s="1279"/>
      <c r="M49" s="1279"/>
      <c r="N49" s="1279"/>
      <c r="O49" s="1279"/>
      <c r="P49" s="1279"/>
      <c r="Q49" s="1279"/>
    </row>
    <row r="50" spans="1:17">
      <c r="A50" s="1277"/>
      <c r="B50" s="1278"/>
      <c r="C50" s="1279"/>
      <c r="D50" s="1280"/>
      <c r="E50" s="1279"/>
      <c r="F50" s="1279"/>
      <c r="G50" s="1279"/>
      <c r="H50" s="1281"/>
      <c r="I50" s="1281"/>
      <c r="J50" s="1279"/>
      <c r="K50" s="1279"/>
      <c r="L50" s="1279"/>
      <c r="M50" s="1279"/>
      <c r="N50" s="1279"/>
      <c r="O50" s="1279"/>
      <c r="P50" s="1279"/>
      <c r="Q50" s="1279"/>
    </row>
    <row r="51" spans="1:17">
      <c r="A51" s="1277"/>
      <c r="B51" s="1278"/>
      <c r="C51" s="1279"/>
      <c r="D51" s="1280"/>
      <c r="E51" s="1279"/>
      <c r="F51" s="1279"/>
      <c r="G51" s="1279"/>
      <c r="H51" s="1281"/>
      <c r="I51" s="1281"/>
      <c r="J51" s="1279"/>
      <c r="K51" s="1279"/>
      <c r="L51" s="1279"/>
      <c r="M51" s="1279"/>
      <c r="N51" s="1279"/>
      <c r="O51" s="1279"/>
      <c r="P51" s="1279"/>
      <c r="Q51" s="1279"/>
    </row>
    <row r="52" spans="1:17">
      <c r="A52" s="1277"/>
      <c r="B52" s="1278"/>
      <c r="C52" s="1279"/>
      <c r="D52" s="1280"/>
      <c r="E52" s="1279"/>
      <c r="F52" s="1279"/>
      <c r="G52" s="1279"/>
      <c r="H52" s="1281"/>
      <c r="I52" s="1281"/>
      <c r="J52" s="1279"/>
      <c r="K52" s="1279"/>
      <c r="L52" s="1279"/>
      <c r="M52" s="1279"/>
      <c r="N52" s="1279"/>
      <c r="O52" s="1279"/>
      <c r="P52" s="1279"/>
      <c r="Q52" s="1279"/>
    </row>
    <row r="53" spans="1:17">
      <c r="A53" s="1277"/>
      <c r="B53" s="1278"/>
      <c r="C53" s="1279"/>
      <c r="D53" s="1280"/>
      <c r="E53" s="1279"/>
      <c r="F53" s="1279"/>
      <c r="G53" s="1279"/>
      <c r="H53" s="1281"/>
      <c r="I53" s="1281"/>
      <c r="J53" s="1279"/>
      <c r="K53" s="1279"/>
      <c r="L53" s="1279"/>
      <c r="M53" s="1279"/>
      <c r="N53" s="1279"/>
      <c r="O53" s="1279"/>
      <c r="P53" s="1279"/>
      <c r="Q53" s="1279"/>
    </row>
    <row r="54" spans="1:17">
      <c r="A54" s="1277"/>
      <c r="B54" s="1278"/>
      <c r="C54" s="1279"/>
      <c r="D54" s="1280"/>
      <c r="E54" s="1279"/>
      <c r="F54" s="1279"/>
      <c r="G54" s="1279"/>
      <c r="H54" s="1281"/>
      <c r="I54" s="1281"/>
      <c r="J54" s="1279"/>
      <c r="K54" s="1279"/>
      <c r="L54" s="1279"/>
      <c r="M54" s="1279"/>
      <c r="N54" s="1279"/>
      <c r="O54" s="1279"/>
      <c r="P54" s="1279"/>
      <c r="Q54" s="1279"/>
    </row>
    <row r="55" spans="1:17">
      <c r="A55" s="1277"/>
      <c r="B55" s="1278"/>
      <c r="C55" s="1279"/>
      <c r="D55" s="1280"/>
      <c r="E55" s="1279"/>
      <c r="F55" s="1279"/>
      <c r="G55" s="1279"/>
      <c r="H55" s="1281"/>
      <c r="I55" s="1281"/>
      <c r="J55" s="1279"/>
      <c r="K55" s="1279"/>
      <c r="L55" s="1279"/>
      <c r="M55" s="1279"/>
      <c r="N55" s="1279"/>
      <c r="O55" s="1279"/>
      <c r="P55" s="1279"/>
      <c r="Q55" s="1279"/>
    </row>
    <row r="56" spans="1:17">
      <c r="A56" s="1277"/>
      <c r="B56" s="1278"/>
      <c r="C56" s="1279"/>
      <c r="D56" s="1280"/>
      <c r="E56" s="1279"/>
      <c r="F56" s="1279"/>
      <c r="G56" s="1279"/>
      <c r="H56" s="1281"/>
      <c r="I56" s="1281"/>
      <c r="J56" s="1279"/>
      <c r="K56" s="1279"/>
      <c r="L56" s="1279"/>
      <c r="M56" s="1279"/>
      <c r="N56" s="1279"/>
      <c r="O56" s="1279"/>
      <c r="P56" s="1279"/>
      <c r="Q56" s="1279"/>
    </row>
    <row r="57" spans="1:17">
      <c r="A57" s="1277"/>
      <c r="B57" s="1278"/>
      <c r="C57" s="1279"/>
      <c r="D57" s="1280"/>
      <c r="E57" s="1279"/>
      <c r="F57" s="1279"/>
      <c r="G57" s="1279"/>
      <c r="H57" s="1281"/>
      <c r="I57" s="1281"/>
      <c r="J57" s="1279"/>
      <c r="K57" s="1279"/>
      <c r="L57" s="1279"/>
      <c r="M57" s="1279"/>
      <c r="N57" s="1279"/>
      <c r="O57" s="1279"/>
      <c r="P57" s="1279"/>
      <c r="Q57" s="1279"/>
    </row>
    <row r="58" spans="1:17">
      <c r="A58" s="1277"/>
      <c r="B58" s="1278"/>
      <c r="C58" s="1279"/>
      <c r="D58" s="1280"/>
      <c r="E58" s="1279"/>
      <c r="F58" s="1279"/>
      <c r="G58" s="1279"/>
      <c r="H58" s="1281"/>
      <c r="I58" s="1281"/>
      <c r="J58" s="1279"/>
      <c r="K58" s="1279"/>
      <c r="L58" s="1279"/>
      <c r="M58" s="1279"/>
      <c r="N58" s="1279"/>
      <c r="O58" s="1279"/>
      <c r="P58" s="1279"/>
      <c r="Q58" s="1279"/>
    </row>
    <row r="59" spans="1:17">
      <c r="A59" s="1277"/>
      <c r="B59" s="1278"/>
      <c r="C59" s="1279"/>
      <c r="D59" s="1280"/>
      <c r="E59" s="1279"/>
      <c r="F59" s="1279"/>
      <c r="G59" s="1279"/>
      <c r="H59" s="1281"/>
      <c r="I59" s="1281"/>
      <c r="J59" s="1279"/>
      <c r="K59" s="1279"/>
      <c r="L59" s="1279"/>
      <c r="M59" s="1279"/>
      <c r="N59" s="1279"/>
      <c r="O59" s="1279"/>
      <c r="P59" s="1279"/>
      <c r="Q59" s="1279"/>
    </row>
    <row r="60" spans="1:17">
      <c r="A60" s="1277"/>
      <c r="B60" s="1278"/>
      <c r="C60" s="1279"/>
      <c r="D60" s="1280"/>
      <c r="E60" s="1279"/>
      <c r="F60" s="1279"/>
      <c r="G60" s="1279"/>
      <c r="H60" s="1281"/>
      <c r="I60" s="1281"/>
      <c r="J60" s="1279"/>
      <c r="K60" s="1279"/>
      <c r="L60" s="1279"/>
      <c r="M60" s="1279"/>
      <c r="N60" s="1279"/>
      <c r="O60" s="1279"/>
      <c r="P60" s="1279"/>
      <c r="Q60" s="1279"/>
    </row>
    <row r="61" spans="1:17">
      <c r="A61" s="1277"/>
      <c r="B61" s="1278"/>
      <c r="C61" s="1279"/>
      <c r="D61" s="1280"/>
      <c r="E61" s="1279"/>
      <c r="F61" s="1279"/>
      <c r="G61" s="1279"/>
      <c r="H61" s="1281"/>
      <c r="I61" s="1281"/>
      <c r="J61" s="1279"/>
      <c r="K61" s="1279"/>
      <c r="L61" s="1279"/>
      <c r="M61" s="1279"/>
      <c r="N61" s="1279"/>
      <c r="O61" s="1279"/>
      <c r="P61" s="1279"/>
      <c r="Q61" s="1279"/>
    </row>
    <row r="62" spans="1:17">
      <c r="A62" s="1277"/>
      <c r="B62" s="1278"/>
      <c r="C62" s="1279"/>
      <c r="D62" s="1280"/>
      <c r="E62" s="1279"/>
      <c r="F62" s="1279"/>
      <c r="G62" s="1279"/>
      <c r="H62" s="1281"/>
      <c r="I62" s="1281"/>
      <c r="J62" s="1279"/>
      <c r="K62" s="1279"/>
      <c r="L62" s="1279"/>
      <c r="M62" s="1279"/>
      <c r="N62" s="1279"/>
      <c r="O62" s="1279"/>
      <c r="P62" s="1279"/>
      <c r="Q62" s="1279"/>
    </row>
    <row r="63" spans="1:17">
      <c r="A63" s="1277"/>
      <c r="B63" s="1278"/>
      <c r="C63" s="1279"/>
      <c r="D63" s="1280"/>
      <c r="E63" s="1279"/>
      <c r="F63" s="1279"/>
      <c r="G63" s="1279"/>
      <c r="H63" s="1281"/>
      <c r="I63" s="1281"/>
      <c r="J63" s="1279"/>
      <c r="K63" s="1279"/>
      <c r="L63" s="1279"/>
      <c r="M63" s="1279"/>
      <c r="N63" s="1279"/>
      <c r="O63" s="1279"/>
      <c r="P63" s="1279"/>
      <c r="Q63" s="1279"/>
    </row>
  </sheetData>
  <sheetProtection algorithmName="SHA-512" hashValue="q3tkRh20zHnTRSgOdZbwdpaVoh2F7PePzxEZYb0wK+Y63QCsvUBgrJsOFUKEbgArK4V/5hX3CPFPtGlsgTqIRA==" saltValue="t7ZI1iboS/Qzd/lFCjqtlg==" spinCount="100000" sheet="1" objects="1" scenarios="1"/>
  <mergeCells count="7">
    <mergeCell ref="A1:Q1"/>
    <mergeCell ref="H4:I4"/>
    <mergeCell ref="O4:Q4"/>
    <mergeCell ref="B19:D19"/>
    <mergeCell ref="B7:D7"/>
    <mergeCell ref="B12:D12"/>
    <mergeCell ref="B16:D16"/>
  </mergeCells>
  <pageMargins left="0.70866141732283472" right="0.70866141732283472" top="0.74803149606299213" bottom="0.74803149606299213" header="0.31496062992125984" footer="0.31496062992125984"/>
  <pageSetup paperSize="9" scale="44"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6FA959-92AB-4707-AF7B-5378C847739C}">
  <sheetPr published="0">
    <pageSetUpPr fitToPage="1"/>
  </sheetPr>
  <dimension ref="A1:Q95"/>
  <sheetViews>
    <sheetView showGridLines="0" zoomScaleNormal="100" workbookViewId="0">
      <selection activeCell="A2" sqref="A2"/>
    </sheetView>
  </sheetViews>
  <sheetFormatPr defaultColWidth="9.140625" defaultRowHeight="15"/>
  <cols>
    <col min="1" max="1" width="3.42578125" style="1097" customWidth="1"/>
    <col min="2" max="2" width="108.85546875" style="1035" customWidth="1"/>
    <col min="3" max="3" width="2.5703125" style="1" customWidth="1"/>
    <col min="4" max="4" width="15.5703125" style="1035" customWidth="1"/>
    <col min="5" max="5" width="15.5703125" style="1086" customWidth="1"/>
    <col min="6" max="16384" width="9.140625" style="1"/>
  </cols>
  <sheetData>
    <row r="1" spans="1:17" ht="16.5" thickBot="1">
      <c r="A1" s="1095"/>
      <c r="B1" s="1644" t="str">
        <f>DNB&amp;" - ELEKTRICITEIT - Tarieflijst periodieke distributienettarieven "&amp;JAAR&amp;" - Afname"</f>
        <v>Naam distributienetbeheerder - ELEKTRICITEIT - Tarieflijst periodieke distributienettarieven 2022 - Afname</v>
      </c>
      <c r="C1" s="1644"/>
      <c r="D1" s="1644"/>
      <c r="E1" s="1645"/>
      <c r="F1" s="1096"/>
      <c r="G1" s="1096"/>
      <c r="H1" s="1096"/>
      <c r="I1" s="1096"/>
      <c r="J1" s="1096"/>
      <c r="K1" s="1096"/>
      <c r="L1" s="1096"/>
      <c r="M1" s="1096"/>
      <c r="N1" s="1096"/>
      <c r="O1" s="1096"/>
      <c r="P1" s="1096"/>
      <c r="Q1" s="1096"/>
    </row>
    <row r="2" spans="1:17" ht="15.75" thickBot="1"/>
    <row r="3" spans="1:17" ht="15.75" thickBot="1">
      <c r="A3" s="1646" t="s">
        <v>424</v>
      </c>
      <c r="B3" s="1647"/>
      <c r="C3" s="1098"/>
      <c r="D3" s="1099" t="s">
        <v>423</v>
      </c>
      <c r="E3" s="1100" t="s">
        <v>422</v>
      </c>
    </row>
    <row r="4" spans="1:17">
      <c r="A4" s="1076" t="s">
        <v>421</v>
      </c>
      <c r="C4" s="1101"/>
      <c r="D4" s="1102"/>
      <c r="E4" s="591"/>
    </row>
    <row r="5" spans="1:17" ht="15.75" thickBot="1">
      <c r="B5" s="1097"/>
      <c r="C5" s="1034"/>
      <c r="D5" s="1102"/>
      <c r="E5" s="591"/>
    </row>
    <row r="6" spans="1:17">
      <c r="A6" s="1103">
        <v>1</v>
      </c>
      <c r="B6" s="1104" t="s">
        <v>420</v>
      </c>
      <c r="C6" s="1105"/>
      <c r="D6" s="1106"/>
      <c r="E6" s="1107"/>
    </row>
    <row r="7" spans="1:17">
      <c r="A7" s="1108" t="s">
        <v>419</v>
      </c>
      <c r="B7" s="1109" t="s">
        <v>418</v>
      </c>
      <c r="D7" s="1110" t="e">
        <f>ROUND($D$8/12,7)</f>
        <v>#DIV/0!</v>
      </c>
      <c r="E7" s="1267" t="s">
        <v>582</v>
      </c>
      <c r="F7" s="1112"/>
    </row>
    <row r="8" spans="1:17">
      <c r="A8" s="1108"/>
      <c r="B8" s="1284" t="s">
        <v>584</v>
      </c>
      <c r="D8" s="1282" t="e">
        <f>ROUND(INDEX(Tabel4B[Afnameklanten op TRHS],1),7)</f>
        <v>#DIV/0!</v>
      </c>
      <c r="E8" s="1283" t="s">
        <v>417</v>
      </c>
      <c r="F8" s="1112"/>
    </row>
    <row r="9" spans="1:17">
      <c r="A9" s="1108" t="s">
        <v>416</v>
      </c>
      <c r="B9" s="1109" t="s">
        <v>415</v>
      </c>
      <c r="D9" s="1110" t="e">
        <f>ROUND(INDEX(Tabel4B[Afnameklanten op TRHS],2),7)</f>
        <v>#DIV/0!</v>
      </c>
      <c r="E9" s="1111" t="s">
        <v>412</v>
      </c>
      <c r="F9" s="1112"/>
    </row>
    <row r="10" spans="1:17" ht="39">
      <c r="A10" s="1108" t="s">
        <v>414</v>
      </c>
      <c r="B10" s="1113" t="s">
        <v>585</v>
      </c>
      <c r="C10" s="1114"/>
      <c r="D10" s="1110" t="e">
        <f>ROUND(INDEX(Tabel4B[Afnameklanten op TRHS],3),7)</f>
        <v>#DIV/0!</v>
      </c>
      <c r="E10" s="1111" t="s">
        <v>412</v>
      </c>
      <c r="F10" s="1112"/>
    </row>
    <row r="11" spans="1:17">
      <c r="A11" s="1108"/>
      <c r="B11" s="1113"/>
      <c r="C11" s="1114"/>
      <c r="D11" s="514"/>
      <c r="E11" s="1111"/>
      <c r="F11" s="1112"/>
    </row>
    <row r="12" spans="1:17">
      <c r="A12" s="1108">
        <v>2</v>
      </c>
      <c r="B12" s="1115" t="s">
        <v>411</v>
      </c>
      <c r="C12" s="1034"/>
      <c r="D12" s="514"/>
      <c r="E12" s="1111"/>
    </row>
    <row r="13" spans="1:17">
      <c r="A13" s="1108"/>
      <c r="B13" s="1109" t="s">
        <v>410</v>
      </c>
      <c r="D13" s="1299"/>
      <c r="E13" s="1111"/>
    </row>
    <row r="14" spans="1:17" ht="39">
      <c r="A14" s="1108"/>
      <c r="B14" s="1113" t="s">
        <v>409</v>
      </c>
      <c r="C14" s="593"/>
      <c r="D14" s="1110" t="e">
        <f>ROUND(INDEX(Tabel4B[Afnameklanten op TRHS],8),7)</f>
        <v>#VALUE!</v>
      </c>
      <c r="E14" s="1111" t="s">
        <v>408</v>
      </c>
    </row>
    <row r="15" spans="1:17">
      <c r="A15" s="1108"/>
      <c r="B15" s="1109"/>
      <c r="D15" s="514"/>
      <c r="E15" s="1111"/>
    </row>
    <row r="16" spans="1:17">
      <c r="A16" s="1108">
        <v>3</v>
      </c>
      <c r="B16" s="1115" t="s">
        <v>407</v>
      </c>
      <c r="C16" s="1034"/>
      <c r="D16" s="514"/>
      <c r="E16" s="1111"/>
    </row>
    <row r="17" spans="1:6">
      <c r="A17" s="1108"/>
      <c r="B17" s="1109" t="s">
        <v>565</v>
      </c>
      <c r="D17" s="1116" t="e">
        <f>ROUND(INDEX(Tabel4B[Afnameklanten op TRHS],9),2)</f>
        <v>#DIV/0!</v>
      </c>
      <c r="E17" s="1111" t="s">
        <v>406</v>
      </c>
    </row>
    <row r="18" spans="1:6">
      <c r="A18" s="1108"/>
      <c r="B18" s="1109"/>
      <c r="D18" s="514"/>
      <c r="E18" s="1111"/>
    </row>
    <row r="19" spans="1:6">
      <c r="A19" s="1108">
        <v>4</v>
      </c>
      <c r="B19" s="1115" t="s">
        <v>405</v>
      </c>
      <c r="C19" s="1034"/>
      <c r="D19" s="1110" t="e">
        <f>ROUND(INDEX(Tabel4B[Afnameklanten op TRHS],15),7)</f>
        <v>#VALUE!</v>
      </c>
      <c r="E19" s="1111" t="s">
        <v>399</v>
      </c>
    </row>
    <row r="20" spans="1:6">
      <c r="A20" s="1108"/>
      <c r="B20" s="1115"/>
      <c r="C20" s="1034"/>
      <c r="D20" s="514"/>
      <c r="E20" s="1111"/>
    </row>
    <row r="21" spans="1:6">
      <c r="A21" s="1108">
        <v>5</v>
      </c>
      <c r="B21" s="1115" t="s">
        <v>404</v>
      </c>
      <c r="C21" s="1034"/>
      <c r="D21" s="1110" t="e">
        <f>ROUND(INDEX(Tabel4B[Afnameklanten op TRHS],17),7)</f>
        <v>#VALUE!</v>
      </c>
      <c r="E21" s="1111" t="s">
        <v>399</v>
      </c>
      <c r="F21" s="1112"/>
    </row>
    <row r="22" spans="1:6">
      <c r="A22" s="1108"/>
      <c r="B22" s="1115"/>
      <c r="C22" s="1034"/>
      <c r="D22" s="514"/>
      <c r="E22" s="1111"/>
      <c r="F22" s="1112"/>
    </row>
    <row r="23" spans="1:6">
      <c r="A23" s="1108">
        <v>6</v>
      </c>
      <c r="B23" s="1115" t="s">
        <v>403</v>
      </c>
      <c r="C23" s="1034"/>
      <c r="D23" s="1110" t="e">
        <f>ROUND(SUM(D$25:D$26),7)</f>
        <v>#DIV/0!</v>
      </c>
      <c r="E23" s="1111" t="s">
        <v>399</v>
      </c>
    </row>
    <row r="24" spans="1:6">
      <c r="A24" s="1108"/>
      <c r="B24" s="1109" t="s">
        <v>402</v>
      </c>
      <c r="C24" s="1034"/>
      <c r="D24" s="514"/>
      <c r="E24" s="1111"/>
    </row>
    <row r="25" spans="1:6">
      <c r="A25" s="1108"/>
      <c r="B25" s="1117" t="s">
        <v>540</v>
      </c>
      <c r="C25" s="1101"/>
      <c r="D25" s="1110" t="e">
        <f>ROUND(INDEX(Tabel4B[Afnameklanten op TRHS],19),7)</f>
        <v>#DIV/0!</v>
      </c>
      <c r="E25" s="1118" t="s">
        <v>399</v>
      </c>
    </row>
    <row r="26" spans="1:6">
      <c r="A26" s="1108"/>
      <c r="B26" s="1117" t="s">
        <v>401</v>
      </c>
      <c r="C26" s="1101"/>
      <c r="D26" s="1110" t="e">
        <f>ROUND(INDEX(Tabel4B[Afnameklanten op TRHS],20),7)</f>
        <v>#DIV/0!</v>
      </c>
      <c r="E26" s="1118" t="s">
        <v>399</v>
      </c>
    </row>
    <row r="27" spans="1:6">
      <c r="A27" s="1108"/>
      <c r="B27" s="1115"/>
      <c r="C27" s="1034"/>
      <c r="D27" s="514"/>
      <c r="E27" s="1111"/>
    </row>
    <row r="28" spans="1:6" ht="15.75" thickBot="1">
      <c r="A28" s="1119"/>
      <c r="B28" s="1120" t="s">
        <v>400</v>
      </c>
      <c r="C28" s="1121"/>
      <c r="D28" s="1122">
        <f>'Max Afname TRHS'!$O$15</f>
        <v>0</v>
      </c>
      <c r="E28" s="1123" t="s">
        <v>399</v>
      </c>
    </row>
    <row r="30" spans="1:6">
      <c r="A30" s="1285"/>
      <c r="B30" s="1278"/>
      <c r="C30" s="1279"/>
      <c r="D30" s="1278"/>
      <c r="E30" s="1286"/>
    </row>
    <row r="31" spans="1:6">
      <c r="A31" s="1285"/>
      <c r="B31" s="1287"/>
      <c r="C31" s="1288"/>
      <c r="D31" s="1278"/>
      <c r="E31" s="1286"/>
    </row>
    <row r="32" spans="1:6">
      <c r="A32" s="1285"/>
      <c r="B32" s="1278"/>
      <c r="C32" s="1279"/>
      <c r="D32" s="1278"/>
      <c r="E32" s="1286"/>
    </row>
    <row r="33" spans="1:5">
      <c r="A33" s="1285"/>
      <c r="B33" s="1278"/>
      <c r="C33" s="1279"/>
      <c r="D33" s="1278"/>
      <c r="E33" s="1286"/>
    </row>
    <row r="34" spans="1:5">
      <c r="A34" s="1285"/>
      <c r="B34" s="1278"/>
      <c r="C34" s="1279"/>
      <c r="D34" s="1278"/>
      <c r="E34" s="1286"/>
    </row>
    <row r="35" spans="1:5">
      <c r="A35" s="1285"/>
      <c r="B35" s="1278"/>
      <c r="C35" s="1279"/>
      <c r="D35" s="1278"/>
      <c r="E35" s="1286"/>
    </row>
    <row r="36" spans="1:5">
      <c r="A36" s="1285"/>
      <c r="B36" s="1278"/>
      <c r="C36" s="1279"/>
      <c r="D36" s="1278"/>
      <c r="E36" s="1286"/>
    </row>
    <row r="37" spans="1:5">
      <c r="A37" s="1285"/>
      <c r="B37" s="1278"/>
      <c r="C37" s="1279"/>
      <c r="D37" s="1278"/>
      <c r="E37" s="1286"/>
    </row>
    <row r="38" spans="1:5">
      <c r="A38" s="1285"/>
      <c r="B38" s="1278"/>
      <c r="C38" s="1279"/>
      <c r="D38" s="1278"/>
      <c r="E38" s="1286"/>
    </row>
    <row r="39" spans="1:5">
      <c r="A39" s="1285"/>
      <c r="B39" s="1278"/>
      <c r="C39" s="1279"/>
      <c r="D39" s="1278"/>
      <c r="E39" s="1286"/>
    </row>
    <row r="40" spans="1:5">
      <c r="A40" s="1285"/>
      <c r="B40" s="1278"/>
      <c r="C40" s="1279"/>
      <c r="D40" s="1278"/>
      <c r="E40" s="1286"/>
    </row>
    <row r="41" spans="1:5">
      <c r="A41" s="1285"/>
      <c r="B41" s="1278"/>
      <c r="C41" s="1279"/>
      <c r="D41" s="1278"/>
      <c r="E41" s="1286"/>
    </row>
    <row r="42" spans="1:5">
      <c r="A42" s="1285"/>
      <c r="B42" s="1278"/>
      <c r="C42" s="1279"/>
      <c r="D42" s="1278"/>
      <c r="E42" s="1286"/>
    </row>
    <row r="43" spans="1:5">
      <c r="A43" s="1285"/>
      <c r="B43" s="1278"/>
      <c r="C43" s="1279"/>
      <c r="D43" s="1278"/>
      <c r="E43" s="1286"/>
    </row>
    <row r="44" spans="1:5">
      <c r="A44" s="1285"/>
      <c r="B44" s="1278"/>
      <c r="C44" s="1279"/>
      <c r="D44" s="1278"/>
      <c r="E44" s="1286"/>
    </row>
    <row r="45" spans="1:5">
      <c r="A45" s="1285"/>
      <c r="B45" s="1278"/>
      <c r="C45" s="1279"/>
      <c r="D45" s="1278"/>
      <c r="E45" s="1286"/>
    </row>
    <row r="46" spans="1:5">
      <c r="A46" s="1285"/>
      <c r="B46" s="1278"/>
      <c r="C46" s="1279"/>
      <c r="D46" s="1278"/>
      <c r="E46" s="1286"/>
    </row>
    <row r="47" spans="1:5">
      <c r="A47" s="1285"/>
      <c r="B47" s="1278"/>
      <c r="C47" s="1279"/>
      <c r="D47" s="1278"/>
      <c r="E47" s="1286"/>
    </row>
    <row r="48" spans="1:5">
      <c r="A48" s="1285"/>
      <c r="B48" s="1278"/>
      <c r="C48" s="1279"/>
      <c r="D48" s="1278"/>
      <c r="E48" s="1286"/>
    </row>
    <row r="49" spans="1:6">
      <c r="A49" s="1285"/>
      <c r="B49" s="1278"/>
      <c r="C49" s="1279"/>
      <c r="D49" s="1278"/>
      <c r="E49" s="1286"/>
    </row>
    <row r="50" spans="1:6" s="1034" customFormat="1">
      <c r="A50" s="1097"/>
      <c r="B50" s="1035"/>
      <c r="C50" s="1"/>
      <c r="D50" s="1035"/>
      <c r="E50" s="1086"/>
      <c r="F50" s="1"/>
    </row>
    <row r="55" spans="1:6">
      <c r="B55" s="1031"/>
      <c r="C55" s="1034"/>
    </row>
    <row r="58" spans="1:6">
      <c r="B58" s="1031"/>
      <c r="C58" s="1034"/>
    </row>
    <row r="62" spans="1:6">
      <c r="B62" s="1031"/>
      <c r="C62" s="1034"/>
    </row>
    <row r="66" spans="2:6">
      <c r="B66" s="1031"/>
      <c r="C66" s="1034"/>
      <c r="D66" s="1031"/>
      <c r="E66" s="1124"/>
      <c r="F66" s="1034"/>
    </row>
    <row r="69" spans="2:6">
      <c r="B69" s="1031"/>
      <c r="C69" s="1034"/>
    </row>
    <row r="72" spans="2:6">
      <c r="B72" s="1031"/>
      <c r="C72" s="1034"/>
    </row>
    <row r="74" spans="2:6">
      <c r="B74" s="1031"/>
      <c r="C74" s="1034"/>
    </row>
    <row r="79" spans="2:6">
      <c r="B79" s="1031"/>
      <c r="C79" s="1034"/>
    </row>
    <row r="81" spans="2:3">
      <c r="B81" s="1031"/>
      <c r="C81" s="1034"/>
    </row>
    <row r="84" spans="2:3">
      <c r="B84" s="1031"/>
      <c r="C84" s="1034"/>
    </row>
    <row r="87" spans="2:3">
      <c r="B87" s="1031"/>
      <c r="C87" s="1034"/>
    </row>
    <row r="90" spans="2:3">
      <c r="B90" s="1031"/>
      <c r="C90" s="1034"/>
    </row>
    <row r="92" spans="2:3">
      <c r="B92" s="1031"/>
      <c r="C92" s="1034"/>
    </row>
    <row r="95" spans="2:3">
      <c r="B95" s="1031"/>
      <c r="C95" s="1034"/>
    </row>
  </sheetData>
  <sheetProtection algorithmName="SHA-512" hashValue="ybTP0IKBLkUOHztAa74Ob/JeacX6f2wQft2nVXMchOGYg0v0XWk9Jx8N7YKx+uvES/6QjVrxcps5Pl2PpRBJvw==" saltValue="BKIQieLz2tPpqf9qPO0rnQ==" spinCount="100000" sheet="1" objects="1" scenarios="1"/>
  <mergeCells count="2">
    <mergeCell ref="B1:E1"/>
    <mergeCell ref="A3:B3"/>
  </mergeCells>
  <pageMargins left="0.70866141732283472" right="0.70866141732283472" top="0.74803149606299213" bottom="0.74803149606299213" header="0.31496062992125984" footer="0.31496062992125984"/>
  <pageSetup paperSize="9" scale="5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0C20A5-958D-4C33-9CA0-9B835723B857}">
  <sheetPr published="0">
    <pageSetUpPr fitToPage="1"/>
  </sheetPr>
  <dimension ref="A1:M108"/>
  <sheetViews>
    <sheetView showGridLines="0" zoomScaleNormal="100" workbookViewId="0">
      <selection activeCell="A2" sqref="A2"/>
    </sheetView>
  </sheetViews>
  <sheetFormatPr defaultColWidth="9.140625" defaultRowHeight="15"/>
  <cols>
    <col min="1" max="1" width="3.42578125" style="1097" customWidth="1"/>
    <col min="2" max="2" width="69.5703125" style="6" customWidth="1"/>
    <col min="3" max="3" width="2.5703125" style="1" customWidth="1"/>
    <col min="4" max="4" width="15.7109375" style="1035" customWidth="1"/>
    <col min="5" max="5" width="15.7109375" style="1071" customWidth="1"/>
    <col min="6" max="6" width="2.5703125" style="1" customWidth="1"/>
    <col min="7" max="8" width="15.7109375" style="1035" customWidth="1"/>
    <col min="9" max="16384" width="9.140625" style="1"/>
  </cols>
  <sheetData>
    <row r="1" spans="1:13" ht="16.5" thickBot="1">
      <c r="A1" s="1648" t="str">
        <f>DNB&amp;" - ELEKTRICITEIT - Tarieflijst periodieke distributienettarieven "&amp;JAAR&amp;" - Afname"</f>
        <v>Naam distributienetbeheerder - ELEKTRICITEIT - Tarieflijst periodieke distributienettarieven 2022 - Afname</v>
      </c>
      <c r="B1" s="1644"/>
      <c r="C1" s="1644"/>
      <c r="D1" s="1644"/>
      <c r="E1" s="1644"/>
      <c r="F1" s="1644"/>
      <c r="G1" s="1644"/>
      <c r="H1" s="1645"/>
      <c r="I1" s="1096"/>
      <c r="J1" s="1096"/>
      <c r="K1" s="1096"/>
      <c r="L1" s="1096"/>
      <c r="M1" s="1096"/>
    </row>
    <row r="2" spans="1:13" ht="15.75" thickBot="1"/>
    <row r="3" spans="1:13" ht="15.75" thickBot="1">
      <c r="A3" s="1125" t="s">
        <v>429</v>
      </c>
      <c r="B3" s="1126"/>
      <c r="C3" s="1098"/>
      <c r="D3" s="1099" t="s">
        <v>423</v>
      </c>
      <c r="E3" s="1127" t="s">
        <v>422</v>
      </c>
      <c r="F3" s="1098"/>
      <c r="G3" s="1099" t="s">
        <v>423</v>
      </c>
      <c r="H3" s="1128" t="s">
        <v>422</v>
      </c>
    </row>
    <row r="4" spans="1:13">
      <c r="A4" s="1074" t="s">
        <v>428</v>
      </c>
      <c r="B4" s="1048"/>
      <c r="C4" s="1034"/>
      <c r="D4" s="1129"/>
      <c r="E4" s="1097"/>
      <c r="F4" s="1034"/>
      <c r="G4" s="1129"/>
      <c r="H4" s="1097"/>
    </row>
    <row r="5" spans="1:13" ht="15.75" thickBot="1">
      <c r="A5" s="1074" t="s">
        <v>427</v>
      </c>
      <c r="C5" s="1101"/>
      <c r="D5" s="1102"/>
      <c r="F5" s="1101"/>
    </row>
    <row r="6" spans="1:13" ht="15.75" thickBot="1">
      <c r="B6" s="1130"/>
      <c r="C6" s="1637" t="s">
        <v>426</v>
      </c>
      <c r="D6" s="1638"/>
      <c r="E6" s="1639"/>
      <c r="F6" s="1637" t="s">
        <v>425</v>
      </c>
      <c r="G6" s="1638"/>
      <c r="H6" s="1639"/>
    </row>
    <row r="7" spans="1:13">
      <c r="A7" s="1103">
        <v>1</v>
      </c>
      <c r="B7" s="1131" t="s">
        <v>420</v>
      </c>
      <c r="C7" s="1034"/>
      <c r="D7" s="1102"/>
      <c r="E7" s="1109"/>
      <c r="F7" s="1034"/>
      <c r="G7" s="1102"/>
      <c r="H7" s="1109"/>
    </row>
    <row r="8" spans="1:13">
      <c r="A8" s="1108" t="s">
        <v>419</v>
      </c>
      <c r="B8" s="1111" t="s">
        <v>418</v>
      </c>
      <c r="D8" s="1132" t="e">
        <f>ROUND($D$9/12,7)</f>
        <v>#DIV/0!</v>
      </c>
      <c r="E8" s="1109" t="s">
        <v>582</v>
      </c>
      <c r="G8" s="1132" t="e">
        <f>ROUND($G$9/12,7)</f>
        <v>#VALUE!</v>
      </c>
      <c r="H8" s="1109" t="s">
        <v>582</v>
      </c>
    </row>
    <row r="9" spans="1:13">
      <c r="A9" s="1108"/>
      <c r="B9" s="1268" t="s">
        <v>584</v>
      </c>
      <c r="D9" s="1289" t="e">
        <f>ROUND(INDEX(Tabel4B[Afnameklanten op &gt;26-36 kV met AV ≥ 5MVA],1),7)</f>
        <v>#DIV/0!</v>
      </c>
      <c r="E9" s="1290" t="s">
        <v>417</v>
      </c>
      <c r="G9" s="1289" t="e">
        <f>ROUND(INDEX(Tabel4B[Afnameklanten op &gt;26-36 kV met AV &lt; 5MVA],1),7)</f>
        <v>#VALUE!</v>
      </c>
      <c r="H9" s="1290" t="s">
        <v>417</v>
      </c>
    </row>
    <row r="10" spans="1:13">
      <c r="A10" s="1108" t="s">
        <v>416</v>
      </c>
      <c r="B10" s="1111" t="s">
        <v>415</v>
      </c>
      <c r="D10" s="1132" t="e">
        <f>ROUND(INDEX(Tabel4B[Afnameklanten op &gt;26-36 kV met AV ≥ 5MVA],2),7)</f>
        <v>#DIV/0!</v>
      </c>
      <c r="E10" s="1109" t="s">
        <v>412</v>
      </c>
      <c r="G10" s="1132" t="e">
        <f>ROUND(INDEX(Tabel4B[Afnameklanten op &gt;26-36 kV met AV &lt; 5MVA],2),7)</f>
        <v>#VALUE!</v>
      </c>
      <c r="H10" s="1109" t="s">
        <v>412</v>
      </c>
    </row>
    <row r="11" spans="1:13" ht="51">
      <c r="A11" s="1108" t="s">
        <v>414</v>
      </c>
      <c r="B11" s="1133" t="s">
        <v>413</v>
      </c>
      <c r="C11" s="1114"/>
      <c r="D11" s="1132" t="e">
        <f>ROUND(INDEX(Tabel4B[Afnameklanten op &gt;26-36 kV met AV ≥ 5MVA],3),7)</f>
        <v>#DIV/0!</v>
      </c>
      <c r="E11" s="1109" t="s">
        <v>412</v>
      </c>
      <c r="F11" s="1114"/>
      <c r="G11" s="1132" t="e">
        <f>ROUND(INDEX(Tabel4B[Afnameklanten op &gt;26-36 kV met AV &lt; 5MVA],3),7)</f>
        <v>#VALUE!</v>
      </c>
      <c r="H11" s="1109" t="s">
        <v>412</v>
      </c>
    </row>
    <row r="12" spans="1:13">
      <c r="A12" s="1108"/>
      <c r="B12" s="1133"/>
      <c r="C12" s="1114"/>
      <c r="D12" s="1102"/>
      <c r="E12" s="1109"/>
      <c r="F12" s="1114"/>
      <c r="G12" s="1102"/>
      <c r="H12" s="1109"/>
    </row>
    <row r="13" spans="1:13">
      <c r="A13" s="1108">
        <v>2</v>
      </c>
      <c r="B13" s="1134" t="s">
        <v>411</v>
      </c>
      <c r="C13" s="1034"/>
      <c r="D13" s="1102"/>
      <c r="E13" s="1109"/>
      <c r="F13" s="1034"/>
      <c r="G13" s="1102"/>
      <c r="H13" s="1109"/>
    </row>
    <row r="14" spans="1:13" ht="27">
      <c r="A14" s="1108"/>
      <c r="B14" s="1133" t="s">
        <v>410</v>
      </c>
      <c r="D14" s="1298"/>
      <c r="E14" s="1109"/>
      <c r="G14" s="1298"/>
      <c r="H14" s="1109"/>
    </row>
    <row r="15" spans="1:13" ht="39">
      <c r="A15" s="1108"/>
      <c r="B15" s="1133" t="s">
        <v>409</v>
      </c>
      <c r="C15" s="593"/>
      <c r="D15" s="1132" t="e">
        <f>ROUND(INDEX(Tabel4B[Afnameklanten op &gt;26-36 kV met AV ≥ 5MVA],8),7)</f>
        <v>#VALUE!</v>
      </c>
      <c r="E15" s="1109" t="s">
        <v>408</v>
      </c>
      <c r="F15" s="593"/>
      <c r="G15" s="1132" t="e">
        <f>ROUND(INDEX(Tabel4B[Afnameklanten op &gt;26-36 kV met AV &lt; 5MVA],8),7)</f>
        <v>#VALUE!</v>
      </c>
      <c r="H15" s="1109" t="s">
        <v>408</v>
      </c>
    </row>
    <row r="16" spans="1:13">
      <c r="A16" s="1108"/>
      <c r="B16" s="1111"/>
      <c r="D16" s="1102"/>
      <c r="E16" s="1109"/>
      <c r="G16" s="1102"/>
      <c r="H16" s="1109"/>
    </row>
    <row r="17" spans="1:8">
      <c r="A17" s="1108">
        <v>3</v>
      </c>
      <c r="B17" s="1134" t="s">
        <v>407</v>
      </c>
      <c r="C17" s="1034"/>
      <c r="D17" s="1102"/>
      <c r="E17" s="1109"/>
      <c r="F17" s="1034"/>
      <c r="G17" s="1102"/>
      <c r="H17" s="1109"/>
    </row>
    <row r="18" spans="1:8">
      <c r="A18" s="1108"/>
      <c r="B18" s="1111" t="s">
        <v>565</v>
      </c>
      <c r="D18" s="1135" t="e">
        <f>ROUND(INDEX(Tabel4B[Afnameklanten op &gt;26-36 kV met AV ≥ 5MVA],9),2)</f>
        <v>#DIV/0!</v>
      </c>
      <c r="E18" s="1109" t="s">
        <v>406</v>
      </c>
      <c r="G18" s="1135" t="e">
        <f>ROUND(INDEX(Tabel4B[Afnameklanten op &gt;26-36 kV met AV &lt; 5MVA],9),2)</f>
        <v>#DIV/0!</v>
      </c>
      <c r="H18" s="1109" t="s">
        <v>406</v>
      </c>
    </row>
    <row r="19" spans="1:8">
      <c r="A19" s="1108"/>
      <c r="B19" s="1111"/>
      <c r="D19" s="1102"/>
      <c r="E19" s="1109"/>
      <c r="G19" s="1102"/>
      <c r="H19" s="1109"/>
    </row>
    <row r="20" spans="1:8">
      <c r="A20" s="1108">
        <v>4</v>
      </c>
      <c r="B20" s="1134" t="s">
        <v>405</v>
      </c>
      <c r="C20" s="1034"/>
      <c r="D20" s="1132" t="e">
        <f>ROUND(INDEX(Tabel4B[Afnameklanten op &gt;26-36 kV met AV ≥ 5MVA],15),7)</f>
        <v>#VALUE!</v>
      </c>
      <c r="E20" s="1109" t="s">
        <v>399</v>
      </c>
      <c r="F20" s="1034"/>
      <c r="G20" s="1132" t="e">
        <f>ROUND(INDEX(Tabel4B[Afnameklanten op &gt;26-36 kV met AV &lt; 5MVA],15),7)</f>
        <v>#VALUE!</v>
      </c>
      <c r="H20" s="1109" t="s">
        <v>399</v>
      </c>
    </row>
    <row r="21" spans="1:8">
      <c r="A21" s="1108"/>
      <c r="B21" s="1134"/>
      <c r="C21" s="1034"/>
      <c r="D21" s="1102"/>
      <c r="E21" s="1109"/>
      <c r="F21" s="1034"/>
      <c r="G21" s="1102"/>
      <c r="H21" s="1109"/>
    </row>
    <row r="22" spans="1:8">
      <c r="A22" s="1108">
        <v>5</v>
      </c>
      <c r="B22" s="1134" t="s">
        <v>404</v>
      </c>
      <c r="C22" s="1034"/>
      <c r="D22" s="1132" t="e">
        <f>ROUND(INDEX(Tabel4B[Afnameklanten op &gt;26-36 kV met AV ≥ 5MVA],17),7)</f>
        <v>#VALUE!</v>
      </c>
      <c r="E22" s="1109" t="s">
        <v>399</v>
      </c>
      <c r="F22" s="1034"/>
      <c r="G22" s="1132" t="e">
        <f>ROUND(INDEX(Tabel4B[Afnameklanten op &gt;26-36 kV met AV &lt; 5MVA],17),7)</f>
        <v>#VALUE!</v>
      </c>
      <c r="H22" s="1109" t="s">
        <v>399</v>
      </c>
    </row>
    <row r="23" spans="1:8">
      <c r="A23" s="1108"/>
      <c r="B23" s="1134"/>
      <c r="C23" s="1034"/>
      <c r="D23" s="1102"/>
      <c r="E23" s="1109"/>
      <c r="F23" s="1034"/>
      <c r="G23" s="1102"/>
      <c r="H23" s="1109"/>
    </row>
    <row r="24" spans="1:8">
      <c r="A24" s="1108">
        <v>6</v>
      </c>
      <c r="B24" s="1134" t="s">
        <v>403</v>
      </c>
      <c r="C24" s="1034"/>
      <c r="D24" s="1132" t="e">
        <f>ROUND(SUM(D$26:D$27),7)</f>
        <v>#DIV/0!</v>
      </c>
      <c r="E24" s="1109" t="s">
        <v>399</v>
      </c>
      <c r="F24" s="1034"/>
      <c r="G24" s="1132" t="e">
        <f>ROUND(SUM(G$26:G$27),7)</f>
        <v>#DIV/0!</v>
      </c>
      <c r="H24" s="1109" t="s">
        <v>399</v>
      </c>
    </row>
    <row r="25" spans="1:8">
      <c r="A25" s="1108"/>
      <c r="B25" s="1133" t="s">
        <v>402</v>
      </c>
      <c r="C25" s="1034"/>
      <c r="D25" s="1102"/>
      <c r="E25" s="1109"/>
      <c r="F25" s="1034"/>
      <c r="G25" s="1102"/>
      <c r="H25" s="1109"/>
    </row>
    <row r="26" spans="1:8" ht="30">
      <c r="A26" s="1108"/>
      <c r="B26" s="1136" t="s">
        <v>586</v>
      </c>
      <c r="C26" s="1101"/>
      <c r="D26" s="1132" t="e">
        <f>ROUND(INDEX(Tabel4B[Afnameklanten op &gt;26-36 kV met AV ≥ 5MVA],19),7)</f>
        <v>#DIV/0!</v>
      </c>
      <c r="E26" s="1137" t="s">
        <v>399</v>
      </c>
      <c r="F26" s="1101"/>
      <c r="G26" s="1132" t="e">
        <f>ROUND(INDEX(Tabel4B[Afnameklanten op &gt;26-36 kV met AV &lt; 5MVA],19),7)</f>
        <v>#DIV/0!</v>
      </c>
      <c r="H26" s="1137" t="s">
        <v>399</v>
      </c>
    </row>
    <row r="27" spans="1:8">
      <c r="A27" s="1108"/>
      <c r="B27" s="1138" t="s">
        <v>401</v>
      </c>
      <c r="C27" s="1101"/>
      <c r="D27" s="1132" t="e">
        <f>ROUND(INDEX(Tabel4B[Afnameklanten op &gt;26-36 kV met AV ≥ 5MVA],20),7)</f>
        <v>#DIV/0!</v>
      </c>
      <c r="E27" s="1137" t="s">
        <v>399</v>
      </c>
      <c r="F27" s="1101"/>
      <c r="G27" s="1132" t="e">
        <f>ROUND(INDEX(Tabel4B[Afnameklanten op &gt;26-36 kV met AV &lt; 5MVA],20),7)</f>
        <v>#DIV/0!</v>
      </c>
      <c r="H27" s="1137" t="s">
        <v>399</v>
      </c>
    </row>
    <row r="28" spans="1:8">
      <c r="A28" s="1108"/>
      <c r="B28" s="1134"/>
      <c r="C28" s="1034"/>
      <c r="D28" s="1102"/>
      <c r="E28" s="1109"/>
      <c r="F28" s="1034"/>
      <c r="G28" s="1102"/>
      <c r="H28" s="1109"/>
    </row>
    <row r="29" spans="1:8" ht="27.75" thickBot="1">
      <c r="A29" s="1119"/>
      <c r="B29" s="1139" t="s">
        <v>400</v>
      </c>
      <c r="C29" s="1121"/>
      <c r="D29" s="1140">
        <f>'Max Afname TRHS'!$O$15</f>
        <v>0</v>
      </c>
      <c r="E29" s="1141" t="s">
        <v>399</v>
      </c>
      <c r="F29" s="1121"/>
      <c r="G29" s="1140">
        <f>'Max Afname MS'!$O$15</f>
        <v>0</v>
      </c>
      <c r="H29" s="1141" t="s">
        <v>399</v>
      </c>
    </row>
    <row r="31" spans="1:8">
      <c r="A31" s="1285"/>
      <c r="B31" s="1291"/>
      <c r="C31" s="1279"/>
      <c r="D31" s="1278"/>
      <c r="E31" s="1285"/>
      <c r="F31" s="1279"/>
      <c r="G31" s="1278"/>
      <c r="H31" s="1278"/>
    </row>
    <row r="32" spans="1:8">
      <c r="A32" s="1285"/>
      <c r="B32" s="1291"/>
      <c r="C32" s="1279"/>
      <c r="D32" s="1278"/>
      <c r="E32" s="1285"/>
      <c r="F32" s="1279"/>
      <c r="G32" s="1278"/>
      <c r="H32" s="1278"/>
    </row>
    <row r="33" spans="1:8">
      <c r="A33" s="1285"/>
      <c r="B33" s="1291"/>
      <c r="C33" s="1279"/>
      <c r="D33" s="1278"/>
      <c r="E33" s="1285"/>
      <c r="F33" s="1279"/>
      <c r="G33" s="1278"/>
      <c r="H33" s="1278"/>
    </row>
    <row r="34" spans="1:8">
      <c r="A34" s="1285"/>
      <c r="B34" s="1291"/>
      <c r="C34" s="1279"/>
      <c r="D34" s="1278"/>
      <c r="E34" s="1285"/>
      <c r="F34" s="1279"/>
      <c r="G34" s="1278"/>
      <c r="H34" s="1278"/>
    </row>
    <row r="35" spans="1:8">
      <c r="A35" s="1285"/>
      <c r="B35" s="1291"/>
      <c r="C35" s="1279"/>
      <c r="D35" s="1278"/>
      <c r="E35" s="1285"/>
      <c r="F35" s="1279"/>
      <c r="G35" s="1278"/>
      <c r="H35" s="1278"/>
    </row>
    <row r="36" spans="1:8">
      <c r="A36" s="1285"/>
      <c r="B36" s="1291"/>
      <c r="C36" s="1279"/>
      <c r="D36" s="1278"/>
      <c r="E36" s="1285"/>
      <c r="F36" s="1279"/>
      <c r="G36" s="1278"/>
      <c r="H36" s="1278"/>
    </row>
    <row r="37" spans="1:8">
      <c r="A37" s="1285"/>
      <c r="B37" s="1291"/>
      <c r="C37" s="1279"/>
      <c r="D37" s="1278"/>
      <c r="E37" s="1285"/>
      <c r="F37" s="1279"/>
      <c r="G37" s="1278"/>
      <c r="H37" s="1278"/>
    </row>
    <row r="38" spans="1:8">
      <c r="A38" s="1285"/>
      <c r="B38" s="1291"/>
      <c r="C38" s="1279"/>
      <c r="D38" s="1278"/>
      <c r="E38" s="1285"/>
      <c r="F38" s="1279"/>
      <c r="G38" s="1278"/>
      <c r="H38" s="1278"/>
    </row>
    <row r="39" spans="1:8">
      <c r="A39" s="1285"/>
      <c r="B39" s="1291"/>
      <c r="C39" s="1279"/>
      <c r="D39" s="1278"/>
      <c r="E39" s="1285"/>
      <c r="F39" s="1279"/>
      <c r="G39" s="1278"/>
      <c r="H39" s="1278"/>
    </row>
    <row r="40" spans="1:8">
      <c r="A40" s="1285"/>
      <c r="B40" s="1291"/>
      <c r="C40" s="1279"/>
      <c r="D40" s="1278"/>
      <c r="E40" s="1285"/>
      <c r="F40" s="1279"/>
      <c r="G40" s="1278"/>
      <c r="H40" s="1278"/>
    </row>
    <row r="41" spans="1:8">
      <c r="A41" s="1285"/>
      <c r="B41" s="1291"/>
      <c r="C41" s="1279"/>
      <c r="D41" s="1278"/>
      <c r="E41" s="1285"/>
      <c r="F41" s="1279"/>
      <c r="G41" s="1278"/>
      <c r="H41" s="1278"/>
    </row>
    <row r="42" spans="1:8">
      <c r="A42" s="1285"/>
      <c r="B42" s="1291"/>
      <c r="C42" s="1279"/>
      <c r="D42" s="1278"/>
      <c r="E42" s="1285"/>
      <c r="F42" s="1279"/>
      <c r="G42" s="1278"/>
      <c r="H42" s="1278"/>
    </row>
    <row r="43" spans="1:8">
      <c r="A43" s="1285"/>
      <c r="B43" s="1291"/>
      <c r="C43" s="1279"/>
      <c r="D43" s="1278"/>
      <c r="E43" s="1285"/>
      <c r="F43" s="1279"/>
      <c r="G43" s="1278"/>
      <c r="H43" s="1278"/>
    </row>
    <row r="44" spans="1:8">
      <c r="A44" s="1285"/>
      <c r="B44" s="1291"/>
      <c r="C44" s="1279"/>
      <c r="D44" s="1278"/>
      <c r="E44" s="1285"/>
      <c r="F44" s="1279"/>
      <c r="G44" s="1278"/>
      <c r="H44" s="1278"/>
    </row>
    <row r="45" spans="1:8">
      <c r="A45" s="1285"/>
      <c r="B45" s="1291"/>
      <c r="C45" s="1279"/>
      <c r="D45" s="1278"/>
      <c r="E45" s="1285"/>
      <c r="F45" s="1279"/>
      <c r="G45" s="1278"/>
      <c r="H45" s="1278"/>
    </row>
    <row r="46" spans="1:8">
      <c r="A46" s="1285"/>
      <c r="B46" s="1291"/>
      <c r="C46" s="1279"/>
      <c r="D46" s="1278"/>
      <c r="E46" s="1285"/>
      <c r="F46" s="1279"/>
      <c r="G46" s="1278"/>
      <c r="H46" s="1278"/>
    </row>
    <row r="47" spans="1:8">
      <c r="A47" s="1285"/>
      <c r="B47" s="1291"/>
      <c r="C47" s="1279"/>
      <c r="D47" s="1278"/>
      <c r="E47" s="1285"/>
      <c r="F47" s="1279"/>
      <c r="G47" s="1278"/>
      <c r="H47" s="1278"/>
    </row>
    <row r="48" spans="1:8">
      <c r="A48" s="1285"/>
      <c r="B48" s="1291"/>
      <c r="C48" s="1279"/>
      <c r="D48" s="1278"/>
      <c r="E48" s="1285"/>
      <c r="F48" s="1279"/>
      <c r="G48" s="1278"/>
      <c r="H48" s="1278"/>
    </row>
    <row r="49" spans="1:8">
      <c r="A49" s="1285"/>
      <c r="B49" s="1291"/>
      <c r="C49" s="1279"/>
      <c r="D49" s="1278"/>
      <c r="E49" s="1285"/>
      <c r="F49" s="1279"/>
      <c r="G49" s="1278"/>
      <c r="H49" s="1278"/>
    </row>
    <row r="50" spans="1:8">
      <c r="A50" s="1285"/>
      <c r="B50" s="1291"/>
      <c r="C50" s="1279"/>
      <c r="D50" s="1278"/>
      <c r="E50" s="1285"/>
      <c r="F50" s="1279"/>
      <c r="G50" s="1278"/>
      <c r="H50" s="1278"/>
    </row>
    <row r="68" spans="1:8">
      <c r="B68" s="1048"/>
      <c r="C68" s="1034"/>
      <c r="F68" s="1034"/>
    </row>
    <row r="71" spans="1:8">
      <c r="B71" s="1048"/>
      <c r="C71" s="1034"/>
      <c r="F71" s="1034"/>
    </row>
    <row r="75" spans="1:8">
      <c r="B75" s="1048"/>
      <c r="C75" s="1034"/>
      <c r="F75" s="1034"/>
    </row>
    <row r="79" spans="1:8" s="1034" customFormat="1">
      <c r="A79" s="1097"/>
      <c r="B79" s="1048"/>
      <c r="D79" s="1031"/>
      <c r="E79" s="1097"/>
      <c r="G79" s="1031"/>
      <c r="H79" s="1031"/>
    </row>
    <row r="82" spans="2:6">
      <c r="B82" s="1048"/>
      <c r="C82" s="1034"/>
      <c r="F82" s="1034"/>
    </row>
    <row r="85" spans="2:6">
      <c r="B85" s="1048"/>
      <c r="C85" s="1034"/>
      <c r="F85" s="1034"/>
    </row>
    <row r="87" spans="2:6">
      <c r="B87" s="1048"/>
      <c r="C87" s="1034"/>
      <c r="F87" s="1034"/>
    </row>
    <row r="92" spans="2:6">
      <c r="B92" s="1048"/>
      <c r="C92" s="1034"/>
      <c r="F92" s="1034"/>
    </row>
    <row r="94" spans="2:6">
      <c r="B94" s="1048"/>
      <c r="C94" s="1034"/>
      <c r="F94" s="1034"/>
    </row>
    <row r="97" spans="2:6">
      <c r="B97" s="1048"/>
      <c r="C97" s="1034"/>
      <c r="F97" s="1034"/>
    </row>
    <row r="100" spans="2:6">
      <c r="B100" s="1048"/>
      <c r="C100" s="1034"/>
      <c r="F100" s="1034"/>
    </row>
    <row r="103" spans="2:6">
      <c r="B103" s="1048"/>
      <c r="C103" s="1034"/>
      <c r="F103" s="1034"/>
    </row>
    <row r="105" spans="2:6">
      <c r="B105" s="1048"/>
      <c r="C105" s="1034"/>
      <c r="F105" s="1034"/>
    </row>
    <row r="108" spans="2:6">
      <c r="B108" s="1048"/>
      <c r="C108" s="1034"/>
      <c r="F108" s="1034"/>
    </row>
  </sheetData>
  <sheetProtection algorithmName="SHA-512" hashValue="pcCGoQEL7xYOpoIRQMQlXC0d417e+LYEFTAuTSNqexDvLCegfRRu9BLyTfir3vCsV2tbBbJM4fGKEKtV1I0qew==" saltValue="vTrZ8hsL9Nv4K7CYZaQM1Q==" spinCount="100000" sheet="1" objects="1" scenarios="1"/>
  <mergeCells count="3">
    <mergeCell ref="F6:H6"/>
    <mergeCell ref="A1:H1"/>
    <mergeCell ref="C6:E6"/>
  </mergeCells>
  <pageMargins left="0.70866141732283472" right="0.70866141732283472" top="0.74803149606299213" bottom="0.74803149606299213" header="0.31496062992125984" footer="0.31496062992125984"/>
  <pageSetup paperSize="9" scale="61"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E5E8DA-EEB3-4193-A750-B61B2C7F1B6A}">
  <sheetPr published="0">
    <pageSetUpPr fitToPage="1"/>
  </sheetPr>
  <dimension ref="A1:Q95"/>
  <sheetViews>
    <sheetView showGridLines="0" zoomScaleNormal="100" workbookViewId="0">
      <selection activeCell="A2" sqref="A2"/>
    </sheetView>
  </sheetViews>
  <sheetFormatPr defaultColWidth="9.140625" defaultRowHeight="15"/>
  <cols>
    <col min="1" max="1" width="3.42578125" style="1097" customWidth="1"/>
    <col min="2" max="2" width="97.28515625" style="6" customWidth="1"/>
    <col min="3" max="3" width="2.5703125" style="1" customWidth="1"/>
    <col min="4" max="4" width="15.5703125" style="1035" customWidth="1"/>
    <col min="5" max="5" width="15.140625" style="1071" bestFit="1" customWidth="1"/>
    <col min="6" max="16384" width="9.140625" style="1"/>
  </cols>
  <sheetData>
    <row r="1" spans="1:17" ht="15.4" customHeight="1" thickBot="1">
      <c r="A1" s="1648" t="str">
        <f>DNB&amp;" - ELEKTRICITEIT - Tarieflijst periodieke distributienettarieven "&amp;JAAR&amp;" - Afname"</f>
        <v>Naam distributienetbeheerder - ELEKTRICITEIT - Tarieflijst periodieke distributienettarieven 2022 - Afname</v>
      </c>
      <c r="B1" s="1644"/>
      <c r="C1" s="1644"/>
      <c r="D1" s="1644"/>
      <c r="E1" s="1645"/>
      <c r="F1" s="1096"/>
      <c r="G1" s="1096"/>
      <c r="H1" s="1096"/>
      <c r="I1" s="1096"/>
      <c r="J1" s="1096"/>
      <c r="K1" s="1096"/>
      <c r="L1" s="1096"/>
      <c r="M1" s="1096"/>
      <c r="N1" s="1096"/>
      <c r="O1" s="1096"/>
      <c r="P1" s="1096"/>
      <c r="Q1" s="1096"/>
    </row>
    <row r="2" spans="1:17" ht="15.75" thickBot="1"/>
    <row r="3" spans="1:17" ht="15.75" thickBot="1">
      <c r="A3" s="1142" t="s">
        <v>431</v>
      </c>
      <c r="B3" s="1126"/>
      <c r="C3" s="1098"/>
      <c r="D3" s="1099" t="s">
        <v>423</v>
      </c>
      <c r="E3" s="1128" t="s">
        <v>422</v>
      </c>
    </row>
    <row r="4" spans="1:17">
      <c r="A4" s="1076" t="s">
        <v>430</v>
      </c>
      <c r="C4" s="1101"/>
      <c r="D4" s="1102"/>
    </row>
    <row r="5" spans="1:17" ht="15.75" thickBot="1">
      <c r="B5" s="1143"/>
      <c r="C5" s="1034"/>
      <c r="D5" s="1102"/>
    </row>
    <row r="6" spans="1:17">
      <c r="A6" s="1103">
        <v>1</v>
      </c>
      <c r="B6" s="1131" t="s">
        <v>420</v>
      </c>
      <c r="C6" s="1105"/>
      <c r="D6" s="1144"/>
      <c r="E6" s="1145"/>
    </row>
    <row r="7" spans="1:17">
      <c r="A7" s="1108" t="s">
        <v>419</v>
      </c>
      <c r="B7" s="1111" t="s">
        <v>418</v>
      </c>
      <c r="D7" s="1132" t="e">
        <f>ROUND($D$8/12,7)</f>
        <v>#VALUE!</v>
      </c>
      <c r="E7" s="1109" t="s">
        <v>582</v>
      </c>
      <c r="F7" s="1112"/>
    </row>
    <row r="8" spans="1:17">
      <c r="A8" s="1108"/>
      <c r="B8" s="1268" t="s">
        <v>584</v>
      </c>
      <c r="D8" s="1289" t="e">
        <f>ROUND(INDEX(Tabel4B[Afnameklanten op 26-1kV],1),7)</f>
        <v>#VALUE!</v>
      </c>
      <c r="E8" s="1290" t="s">
        <v>417</v>
      </c>
      <c r="F8" s="1112"/>
    </row>
    <row r="9" spans="1:17">
      <c r="A9" s="1108" t="s">
        <v>416</v>
      </c>
      <c r="B9" s="1111" t="s">
        <v>415</v>
      </c>
      <c r="D9" s="1132" t="e">
        <f>ROUND(INDEX(Tabel4B[Afnameklanten op 26-1kV],2),7)</f>
        <v>#VALUE!</v>
      </c>
      <c r="E9" s="1109" t="s">
        <v>412</v>
      </c>
      <c r="F9" s="1112"/>
    </row>
    <row r="10" spans="1:17" ht="39">
      <c r="A10" s="1108" t="s">
        <v>414</v>
      </c>
      <c r="B10" s="1133" t="s">
        <v>413</v>
      </c>
      <c r="C10" s="1114"/>
      <c r="D10" s="1132" t="e">
        <f>ROUND(INDEX(Tabel4B[Afnameklanten op 26-1kV],3),7)</f>
        <v>#VALUE!</v>
      </c>
      <c r="E10" s="1109" t="s">
        <v>412</v>
      </c>
      <c r="F10" s="1112"/>
    </row>
    <row r="11" spans="1:17">
      <c r="A11" s="1108"/>
      <c r="B11" s="1133"/>
      <c r="C11" s="1114"/>
      <c r="D11" s="1102"/>
      <c r="E11" s="1109"/>
      <c r="F11" s="1112"/>
    </row>
    <row r="12" spans="1:17" ht="28.5" customHeight="1">
      <c r="A12" s="1108">
        <v>2</v>
      </c>
      <c r="B12" s="1134" t="s">
        <v>411</v>
      </c>
      <c r="C12" s="1034"/>
      <c r="D12" s="1102"/>
      <c r="E12" s="1109"/>
    </row>
    <row r="13" spans="1:17" ht="27">
      <c r="A13" s="1108"/>
      <c r="B13" s="1133" t="s">
        <v>410</v>
      </c>
      <c r="D13" s="1298"/>
      <c r="E13" s="1109"/>
    </row>
    <row r="14" spans="1:17" ht="39">
      <c r="A14" s="1108"/>
      <c r="B14" s="1133" t="s">
        <v>409</v>
      </c>
      <c r="C14" s="593"/>
      <c r="D14" s="1132" t="e">
        <f>ROUND(INDEX(Tabel4B[Afnameklanten op 26-1kV],8),7)</f>
        <v>#VALUE!</v>
      </c>
      <c r="E14" s="1109" t="s">
        <v>408</v>
      </c>
    </row>
    <row r="15" spans="1:17">
      <c r="A15" s="1108"/>
      <c r="B15" s="1111"/>
      <c r="D15" s="1102"/>
      <c r="E15" s="1109"/>
    </row>
    <row r="16" spans="1:17">
      <c r="A16" s="1108">
        <v>3</v>
      </c>
      <c r="B16" s="1134" t="s">
        <v>407</v>
      </c>
      <c r="C16" s="1034"/>
      <c r="D16" s="1102"/>
      <c r="E16" s="1109"/>
    </row>
    <row r="17" spans="1:6">
      <c r="A17" s="1108"/>
      <c r="B17" s="1111" t="s">
        <v>565</v>
      </c>
      <c r="D17" s="1135" t="e">
        <f>ROUND(INDEX(Tabel4B[Afnameklanten op 26-1kV],9),2)</f>
        <v>#DIV/0!</v>
      </c>
      <c r="E17" s="1109" t="s">
        <v>406</v>
      </c>
    </row>
    <row r="18" spans="1:6">
      <c r="A18" s="1108"/>
      <c r="B18" s="1111"/>
      <c r="D18" s="1102"/>
      <c r="E18" s="1109"/>
    </row>
    <row r="19" spans="1:6">
      <c r="A19" s="1108">
        <v>4</v>
      </c>
      <c r="B19" s="1134" t="s">
        <v>405</v>
      </c>
      <c r="C19" s="1034"/>
      <c r="D19" s="1132" t="e">
        <f>ROUND(INDEX(Tabel4B[Afnameklanten op 26-1kV],15),7)</f>
        <v>#VALUE!</v>
      </c>
      <c r="E19" s="1109" t="s">
        <v>399</v>
      </c>
    </row>
    <row r="20" spans="1:6">
      <c r="A20" s="1108"/>
      <c r="B20" s="1134"/>
      <c r="C20" s="1034"/>
      <c r="D20" s="1102"/>
      <c r="E20" s="1109"/>
    </row>
    <row r="21" spans="1:6">
      <c r="A21" s="1108">
        <v>5</v>
      </c>
      <c r="B21" s="1134" t="s">
        <v>404</v>
      </c>
      <c r="C21" s="1034"/>
      <c r="D21" s="1132" t="e">
        <f>ROUND(INDEX(Tabel4B[Afnameklanten op 26-1kV],17),7)</f>
        <v>#VALUE!</v>
      </c>
      <c r="E21" s="1109" t="s">
        <v>399</v>
      </c>
      <c r="F21" s="1112"/>
    </row>
    <row r="22" spans="1:6">
      <c r="A22" s="1108"/>
      <c r="B22" s="1134"/>
      <c r="C22" s="1034"/>
      <c r="D22" s="1102"/>
      <c r="E22" s="1109"/>
      <c r="F22" s="1112"/>
    </row>
    <row r="23" spans="1:6">
      <c r="A23" s="1108">
        <v>6</v>
      </c>
      <c r="B23" s="1134" t="s">
        <v>403</v>
      </c>
      <c r="C23" s="1034"/>
      <c r="D23" s="1132" t="e">
        <f>ROUND(SUM(D$25:D$26),7)</f>
        <v>#DIV/0!</v>
      </c>
      <c r="E23" s="1109" t="s">
        <v>399</v>
      </c>
    </row>
    <row r="24" spans="1:6">
      <c r="A24" s="1108"/>
      <c r="B24" s="1111" t="s">
        <v>402</v>
      </c>
      <c r="C24" s="1034"/>
      <c r="D24" s="1102"/>
      <c r="E24" s="1109"/>
    </row>
    <row r="25" spans="1:6">
      <c r="A25" s="1108"/>
      <c r="B25" s="1146" t="s">
        <v>540</v>
      </c>
      <c r="C25" s="1101"/>
      <c r="D25" s="1132" t="e">
        <f>ROUND(INDEX(Tabel4B[Afnameklanten op 26-1kV],19),7)</f>
        <v>#DIV/0!</v>
      </c>
      <c r="E25" s="1137" t="s">
        <v>399</v>
      </c>
    </row>
    <row r="26" spans="1:6">
      <c r="A26" s="1108"/>
      <c r="B26" s="1146" t="s">
        <v>401</v>
      </c>
      <c r="C26" s="1101"/>
      <c r="D26" s="1132" t="e">
        <f>ROUND(INDEX(Tabel4B[Afnameklanten op 26-1kV],20),7)</f>
        <v>#DIV/0!</v>
      </c>
      <c r="E26" s="1137" t="s">
        <v>399</v>
      </c>
    </row>
    <row r="27" spans="1:6">
      <c r="A27" s="1108"/>
      <c r="B27" s="1134"/>
      <c r="C27" s="1034"/>
      <c r="D27" s="1102"/>
      <c r="E27" s="1109"/>
    </row>
    <row r="28" spans="1:6" ht="15.75" thickBot="1">
      <c r="A28" s="1119"/>
      <c r="B28" s="1139" t="s">
        <v>400</v>
      </c>
      <c r="C28" s="1121"/>
      <c r="D28" s="1140">
        <f>'Max Afname MS'!$O$15</f>
        <v>0</v>
      </c>
      <c r="E28" s="1141" t="s">
        <v>399</v>
      </c>
    </row>
    <row r="30" spans="1:6">
      <c r="A30" s="1285"/>
      <c r="B30" s="1291"/>
      <c r="C30" s="1279"/>
      <c r="D30" s="1278"/>
      <c r="E30" s="1285"/>
    </row>
    <row r="31" spans="1:6">
      <c r="A31" s="1285"/>
      <c r="B31" s="1292"/>
      <c r="C31" s="1288"/>
      <c r="D31" s="1278"/>
      <c r="E31" s="1285"/>
    </row>
    <row r="32" spans="1:6">
      <c r="A32" s="1285"/>
      <c r="B32" s="1291"/>
      <c r="C32" s="1279"/>
      <c r="D32" s="1278"/>
      <c r="E32" s="1285"/>
    </row>
    <row r="33" spans="1:5">
      <c r="A33" s="1285"/>
      <c r="B33" s="1291"/>
      <c r="C33" s="1279"/>
      <c r="D33" s="1278"/>
      <c r="E33" s="1285"/>
    </row>
    <row r="34" spans="1:5">
      <c r="A34" s="1285"/>
      <c r="B34" s="1291"/>
      <c r="C34" s="1279"/>
      <c r="D34" s="1278"/>
      <c r="E34" s="1285"/>
    </row>
    <row r="35" spans="1:5">
      <c r="A35" s="1285"/>
      <c r="B35" s="1291"/>
      <c r="C35" s="1279"/>
      <c r="D35" s="1278"/>
      <c r="E35" s="1285"/>
    </row>
    <row r="36" spans="1:5">
      <c r="A36" s="1285"/>
      <c r="B36" s="1291"/>
      <c r="C36" s="1279"/>
      <c r="D36" s="1278"/>
      <c r="E36" s="1285"/>
    </row>
    <row r="37" spans="1:5">
      <c r="A37" s="1285"/>
      <c r="B37" s="1291"/>
      <c r="C37" s="1279"/>
      <c r="D37" s="1278"/>
      <c r="E37" s="1285"/>
    </row>
    <row r="38" spans="1:5">
      <c r="A38" s="1285"/>
      <c r="B38" s="1291"/>
      <c r="C38" s="1279"/>
      <c r="D38" s="1278"/>
      <c r="E38" s="1285"/>
    </row>
    <row r="39" spans="1:5">
      <c r="A39" s="1285"/>
      <c r="B39" s="1291"/>
      <c r="C39" s="1279"/>
      <c r="D39" s="1278"/>
      <c r="E39" s="1285"/>
    </row>
    <row r="40" spans="1:5">
      <c r="A40" s="1285"/>
      <c r="B40" s="1291"/>
      <c r="C40" s="1279"/>
      <c r="D40" s="1278"/>
      <c r="E40" s="1285"/>
    </row>
    <row r="41" spans="1:5">
      <c r="A41" s="1285"/>
      <c r="B41" s="1291"/>
      <c r="C41" s="1279"/>
      <c r="D41" s="1278"/>
      <c r="E41" s="1285"/>
    </row>
    <row r="42" spans="1:5">
      <c r="A42" s="1285"/>
      <c r="B42" s="1291"/>
      <c r="C42" s="1279"/>
      <c r="D42" s="1278"/>
      <c r="E42" s="1285"/>
    </row>
    <row r="43" spans="1:5">
      <c r="A43" s="1285"/>
      <c r="B43" s="1291"/>
      <c r="C43" s="1279"/>
      <c r="D43" s="1278"/>
      <c r="E43" s="1285"/>
    </row>
    <row r="44" spans="1:5">
      <c r="A44" s="1285"/>
      <c r="B44" s="1291"/>
      <c r="C44" s="1279"/>
      <c r="D44" s="1278"/>
      <c r="E44" s="1285"/>
    </row>
    <row r="45" spans="1:5">
      <c r="A45" s="1285"/>
      <c r="B45" s="1291"/>
      <c r="C45" s="1279"/>
      <c r="D45" s="1278"/>
      <c r="E45" s="1285"/>
    </row>
    <row r="46" spans="1:5">
      <c r="A46" s="1285"/>
      <c r="B46" s="1291"/>
      <c r="C46" s="1279"/>
      <c r="D46" s="1278"/>
      <c r="E46" s="1285"/>
    </row>
    <row r="47" spans="1:5">
      <c r="A47" s="1285"/>
      <c r="B47" s="1291"/>
      <c r="C47" s="1279"/>
      <c r="D47" s="1278"/>
      <c r="E47" s="1285"/>
    </row>
    <row r="48" spans="1:5">
      <c r="A48" s="1285"/>
      <c r="B48" s="1291"/>
      <c r="C48" s="1279"/>
      <c r="D48" s="1278"/>
      <c r="E48" s="1285"/>
    </row>
    <row r="49" spans="1:5">
      <c r="A49" s="1285"/>
      <c r="B49" s="1291"/>
      <c r="C49" s="1279"/>
      <c r="D49" s="1278"/>
      <c r="E49" s="1285"/>
    </row>
    <row r="55" spans="1:5">
      <c r="B55" s="1048"/>
      <c r="C55" s="1034"/>
    </row>
    <row r="58" spans="1:5">
      <c r="B58" s="1048"/>
      <c r="C58" s="1034"/>
    </row>
    <row r="62" spans="1:5">
      <c r="B62" s="1048"/>
      <c r="C62" s="1034"/>
    </row>
    <row r="65" spans="1:6" s="1034" customFormat="1">
      <c r="A65" s="1097"/>
      <c r="B65" s="6"/>
      <c r="C65" s="1"/>
      <c r="D65" s="1035"/>
      <c r="E65" s="1071"/>
      <c r="F65" s="1"/>
    </row>
    <row r="66" spans="1:6">
      <c r="B66" s="1048"/>
      <c r="C66" s="1034"/>
      <c r="D66" s="1031"/>
      <c r="E66" s="1097"/>
      <c r="F66" s="1034"/>
    </row>
    <row r="69" spans="1:6">
      <c r="B69" s="1048"/>
      <c r="C69" s="1034"/>
    </row>
    <row r="72" spans="1:6">
      <c r="B72" s="1048"/>
      <c r="C72" s="1034"/>
    </row>
    <row r="74" spans="1:6">
      <c r="B74" s="1048"/>
      <c r="C74" s="1034"/>
    </row>
    <row r="79" spans="1:6">
      <c r="B79" s="1048"/>
      <c r="C79" s="1034"/>
    </row>
    <row r="81" spans="2:3">
      <c r="B81" s="1048"/>
      <c r="C81" s="1034"/>
    </row>
    <row r="84" spans="2:3">
      <c r="B84" s="1048"/>
      <c r="C84" s="1034"/>
    </row>
    <row r="87" spans="2:3">
      <c r="B87" s="1048"/>
      <c r="C87" s="1034"/>
    </row>
    <row r="90" spans="2:3">
      <c r="B90" s="1048"/>
      <c r="C90" s="1034"/>
    </row>
    <row r="92" spans="2:3">
      <c r="B92" s="1048"/>
      <c r="C92" s="1034"/>
    </row>
    <row r="95" spans="2:3">
      <c r="B95" s="1048"/>
      <c r="C95" s="1034"/>
    </row>
  </sheetData>
  <sheetProtection algorithmName="SHA-512" hashValue="1KON4chIu9y6xMY3Udm1IFi2psIU7gWlcBQGYRqj58AHllWMVwq2vLKI2pxZP8jLHiDtTyCPt2xLZBUnJYF/Xw==" saltValue="jJpKYpgqPieQeYRBw8zvYQ==" spinCount="100000" sheet="1" objects="1" scenarios="1"/>
  <mergeCells count="1">
    <mergeCell ref="A1:E1"/>
  </mergeCells>
  <pageMargins left="0.70866141732283472" right="0.70866141732283472" top="0.74803149606299213" bottom="0.74803149606299213" header="0.31496062992125984" footer="0.31496062992125984"/>
  <pageSetup paperSize="9" scale="65"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08034D-C0E1-4407-A2E4-3E3C77C9C3D3}">
  <sheetPr published="0">
    <pageSetUpPr fitToPage="1"/>
  </sheetPr>
  <dimension ref="A1:Q54"/>
  <sheetViews>
    <sheetView showGridLines="0" zoomScaleNormal="100" workbookViewId="0">
      <selection activeCell="A2" sqref="A2"/>
    </sheetView>
  </sheetViews>
  <sheetFormatPr defaultColWidth="9.140625" defaultRowHeight="15"/>
  <cols>
    <col min="1" max="1" width="3.42578125" style="1097" customWidth="1"/>
    <col min="2" max="2" width="96.42578125" style="6" customWidth="1"/>
    <col min="3" max="3" width="2.5703125" style="1" customWidth="1"/>
    <col min="4" max="4" width="15.5703125" style="1035" customWidth="1"/>
    <col min="5" max="5" width="15.5703125" style="1071" customWidth="1"/>
    <col min="6" max="16384" width="9.140625" style="1"/>
  </cols>
  <sheetData>
    <row r="1" spans="1:17" ht="16.5" thickBot="1">
      <c r="A1" s="1648" t="str">
        <f>DNB&amp;" - ELEKTRICITEIT - Tarieflijst periodieke distributienettarieven "&amp;JAAR&amp;" - Afname"</f>
        <v>Naam distributienetbeheerder - ELEKTRICITEIT - Tarieflijst periodieke distributienettarieven 2022 - Afname</v>
      </c>
      <c r="B1" s="1644"/>
      <c r="C1" s="1644"/>
      <c r="D1" s="1644"/>
      <c r="E1" s="1645"/>
      <c r="F1" s="1096"/>
      <c r="G1" s="1096"/>
      <c r="H1" s="1096"/>
      <c r="I1" s="1096"/>
      <c r="J1" s="1096"/>
      <c r="K1" s="1096"/>
      <c r="L1" s="1096"/>
      <c r="M1" s="1096"/>
      <c r="N1" s="1096"/>
      <c r="O1" s="1096"/>
      <c r="P1" s="1096"/>
      <c r="Q1" s="1096"/>
    </row>
    <row r="2" spans="1:17" ht="15.75" thickBot="1"/>
    <row r="3" spans="1:17" ht="15.75" thickBot="1">
      <c r="A3" s="1142" t="s">
        <v>446</v>
      </c>
      <c r="B3" s="584"/>
      <c r="C3" s="1098"/>
      <c r="D3" s="1099"/>
      <c r="E3" s="1128"/>
    </row>
    <row r="4" spans="1:17">
      <c r="A4" s="1074" t="s">
        <v>445</v>
      </c>
      <c r="C4" s="1101"/>
      <c r="D4" s="1102"/>
    </row>
    <row r="5" spans="1:17" ht="15.75" thickBot="1">
      <c r="B5" s="1048"/>
      <c r="C5" s="1034"/>
      <c r="D5" s="1102"/>
    </row>
    <row r="6" spans="1:17" ht="15.75" thickBot="1">
      <c r="A6" s="1142" t="s">
        <v>444</v>
      </c>
      <c r="B6" s="1126"/>
      <c r="C6" s="1147"/>
      <c r="D6" s="1148" t="s">
        <v>423</v>
      </c>
      <c r="E6" s="1100" t="s">
        <v>422</v>
      </c>
    </row>
    <row r="7" spans="1:17">
      <c r="A7" s="1103">
        <v>1</v>
      </c>
      <c r="B7" s="1149" t="s">
        <v>420</v>
      </c>
      <c r="C7" s="1150"/>
      <c r="D7" s="1144"/>
      <c r="E7" s="1145"/>
    </row>
    <row r="8" spans="1:17">
      <c r="A8" s="1108" t="s">
        <v>419</v>
      </c>
      <c r="B8" s="591" t="s">
        <v>418</v>
      </c>
      <c r="C8" s="1080"/>
      <c r="D8" s="1132" t="e">
        <f>ROUND($D$9/12,7)</f>
        <v>#VALUE!</v>
      </c>
      <c r="E8" s="1109" t="s">
        <v>582</v>
      </c>
      <c r="F8" s="1112"/>
    </row>
    <row r="9" spans="1:17">
      <c r="A9" s="1108"/>
      <c r="B9" s="1273" t="s">
        <v>584</v>
      </c>
      <c r="C9" s="1080"/>
      <c r="D9" s="1289" t="e">
        <f>ROUND(INDEX(Tabel4B[Afnameklanten op TRLS],1),7)</f>
        <v>#VALUE!</v>
      </c>
      <c r="E9" s="1290" t="s">
        <v>417</v>
      </c>
      <c r="F9" s="1112"/>
    </row>
    <row r="10" spans="1:17">
      <c r="A10" s="1108" t="s">
        <v>416</v>
      </c>
      <c r="B10" s="591" t="s">
        <v>415</v>
      </c>
      <c r="C10" s="1080"/>
      <c r="D10" s="1132" t="e">
        <f>ROUND(INDEX(Tabel4B[Afnameklanten op TRLS],2),7)</f>
        <v>#VALUE!</v>
      </c>
      <c r="E10" s="1109" t="s">
        <v>412</v>
      </c>
      <c r="F10" s="1112"/>
    </row>
    <row r="11" spans="1:17" ht="39">
      <c r="A11" s="1108" t="s">
        <v>414</v>
      </c>
      <c r="B11" s="593" t="s">
        <v>413</v>
      </c>
      <c r="C11" s="1151"/>
      <c r="D11" s="1132" t="e">
        <f>ROUND(INDEX(Tabel4B[Afnameklanten op TRLS],3),7)</f>
        <v>#VALUE!</v>
      </c>
      <c r="E11" s="1109" t="s">
        <v>412</v>
      </c>
      <c r="F11" s="1112"/>
    </row>
    <row r="12" spans="1:17">
      <c r="A12" s="1108"/>
      <c r="B12" s="593"/>
      <c r="C12" s="1151"/>
      <c r="D12" s="1102"/>
      <c r="E12" s="1109"/>
      <c r="F12" s="1112"/>
    </row>
    <row r="13" spans="1:17">
      <c r="A13" s="1108">
        <v>2</v>
      </c>
      <c r="B13" s="1143" t="s">
        <v>411</v>
      </c>
      <c r="C13" s="1152"/>
      <c r="D13" s="1102"/>
      <c r="E13" s="1109"/>
    </row>
    <row r="14" spans="1:17" ht="27">
      <c r="A14" s="1108"/>
      <c r="B14" s="593" t="s">
        <v>410</v>
      </c>
      <c r="C14" s="1080"/>
      <c r="D14" s="1298"/>
      <c r="E14" s="1109" t="s">
        <v>443</v>
      </c>
    </row>
    <row r="15" spans="1:17" ht="39">
      <c r="A15" s="1108"/>
      <c r="B15" s="593" t="s">
        <v>409</v>
      </c>
      <c r="C15" s="1153"/>
      <c r="D15" s="1132" t="e">
        <f>ROUND(INDEX(Tabel4B[Afnameklanten op TRLS],8),7)</f>
        <v>#VALUE!</v>
      </c>
      <c r="E15" s="1109" t="s">
        <v>408</v>
      </c>
    </row>
    <row r="16" spans="1:17">
      <c r="A16" s="1108"/>
      <c r="B16" s="591"/>
      <c r="C16" s="1080"/>
      <c r="D16" s="1102"/>
      <c r="E16" s="1109"/>
    </row>
    <row r="17" spans="1:6">
      <c r="A17" s="1108">
        <v>3</v>
      </c>
      <c r="B17" s="1143" t="s">
        <v>407</v>
      </c>
      <c r="C17" s="1152"/>
      <c r="D17" s="1102"/>
      <c r="E17" s="1109"/>
    </row>
    <row r="18" spans="1:6">
      <c r="A18" s="1108"/>
      <c r="B18" s="591" t="s">
        <v>565</v>
      </c>
      <c r="C18" s="1080"/>
      <c r="D18" s="1135" t="e">
        <f>ROUND(INDEX(Tabel4B[Afnameklanten op TRLS],9),2)</f>
        <v>#DIV/0!</v>
      </c>
      <c r="E18" s="1109" t="s">
        <v>406</v>
      </c>
    </row>
    <row r="19" spans="1:6">
      <c r="A19" s="1108"/>
      <c r="B19" s="591"/>
      <c r="C19" s="1080"/>
      <c r="D19" s="1135"/>
      <c r="E19" s="1109"/>
    </row>
    <row r="20" spans="1:6">
      <c r="A20" s="1108">
        <v>4</v>
      </c>
      <c r="B20" s="1143" t="s">
        <v>405</v>
      </c>
      <c r="C20" s="1152"/>
      <c r="D20" s="1102"/>
      <c r="E20" s="1109"/>
    </row>
    <row r="21" spans="1:6">
      <c r="A21" s="1108"/>
      <c r="B21" s="591" t="s">
        <v>433</v>
      </c>
      <c r="C21" s="1080"/>
      <c r="D21" s="1132" t="e">
        <f>ROUND(INDEX(Tabel4B[Afnameklanten op TRLS],15),7)</f>
        <v>#VALUE!</v>
      </c>
      <c r="E21" s="1109" t="s">
        <v>399</v>
      </c>
    </row>
    <row r="22" spans="1:6">
      <c r="A22" s="1108"/>
      <c r="B22" s="591" t="s">
        <v>432</v>
      </c>
      <c r="C22" s="1080"/>
      <c r="D22" s="1132" t="e">
        <f>ROUND(INDEX(Tabel4B[Afnameklanten op TRLS],16),7)</f>
        <v>#VALUE!</v>
      </c>
      <c r="E22" s="1109" t="s">
        <v>399</v>
      </c>
    </row>
    <row r="23" spans="1:6">
      <c r="A23" s="1108"/>
      <c r="B23" s="1143"/>
      <c r="C23" s="1152"/>
      <c r="D23" s="1102"/>
      <c r="E23" s="1109"/>
    </row>
    <row r="24" spans="1:6">
      <c r="A24" s="1108">
        <v>5</v>
      </c>
      <c r="B24" s="1143" t="s">
        <v>404</v>
      </c>
      <c r="C24" s="1152"/>
      <c r="D24" s="1132" t="e">
        <f>ROUND(INDEX(Tabel4B[Afnameklanten op TRLS],17),7)</f>
        <v>#VALUE!</v>
      </c>
      <c r="E24" s="1109" t="s">
        <v>399</v>
      </c>
      <c r="F24" s="1112"/>
    </row>
    <row r="25" spans="1:6">
      <c r="A25" s="1108"/>
      <c r="B25" s="1143"/>
      <c r="C25" s="1152"/>
      <c r="D25" s="1102"/>
      <c r="E25" s="1109"/>
      <c r="F25" s="1112"/>
    </row>
    <row r="26" spans="1:6">
      <c r="A26" s="1108">
        <v>6</v>
      </c>
      <c r="B26" s="1143" t="s">
        <v>442</v>
      </c>
      <c r="C26" s="1152"/>
      <c r="D26" s="1132" t="e">
        <f>ROUND(SUM(D$28:D$29),7)</f>
        <v>#DIV/0!</v>
      </c>
      <c r="E26" s="1109" t="s">
        <v>399</v>
      </c>
    </row>
    <row r="27" spans="1:6">
      <c r="A27" s="1108"/>
      <c r="B27" s="591" t="s">
        <v>402</v>
      </c>
      <c r="C27" s="1152"/>
      <c r="D27" s="1102"/>
      <c r="E27" s="1109"/>
    </row>
    <row r="28" spans="1:6">
      <c r="A28" s="1108"/>
      <c r="B28" s="6" t="s">
        <v>540</v>
      </c>
      <c r="C28" s="1154"/>
      <c r="D28" s="1132" t="e">
        <f>ROUND(INDEX(Tabel4B[Afnameklanten op TRLS],19),7)</f>
        <v>#DIV/0!</v>
      </c>
      <c r="E28" s="1137" t="s">
        <v>399</v>
      </c>
    </row>
    <row r="29" spans="1:6">
      <c r="A29" s="1108"/>
      <c r="B29" s="6" t="s">
        <v>401</v>
      </c>
      <c r="C29" s="1154"/>
      <c r="D29" s="1132" t="e">
        <f>ROUND(INDEX(Tabel4B[Afnameklanten op TRLS],20),7)</f>
        <v>#DIV/0!</v>
      </c>
      <c r="E29" s="1137" t="s">
        <v>399</v>
      </c>
    </row>
    <row r="30" spans="1:6">
      <c r="A30" s="1108"/>
      <c r="B30" s="1143"/>
      <c r="C30" s="1152"/>
      <c r="D30" s="1102"/>
      <c r="E30" s="1109"/>
    </row>
    <row r="31" spans="1:6" ht="15.75" thickBot="1">
      <c r="A31" s="1119"/>
      <c r="B31" s="1155" t="s">
        <v>400</v>
      </c>
      <c r="C31" s="1156"/>
      <c r="D31" s="1140">
        <f>'Max Afname TRLS'!$O$15</f>
        <v>0</v>
      </c>
      <c r="E31" s="1141" t="s">
        <v>399</v>
      </c>
    </row>
    <row r="33" spans="1:5">
      <c r="A33" s="1293"/>
      <c r="B33" s="1294"/>
      <c r="C33" s="1295"/>
      <c r="D33" s="1275"/>
      <c r="E33" s="1296"/>
    </row>
    <row r="34" spans="1:5">
      <c r="A34" s="1293"/>
      <c r="B34" s="1297"/>
      <c r="C34" s="1276"/>
      <c r="D34" s="1275"/>
      <c r="E34" s="1296"/>
    </row>
    <row r="35" spans="1:5">
      <c r="A35" s="1293"/>
      <c r="B35" s="1297"/>
      <c r="C35" s="1276"/>
      <c r="D35" s="1275"/>
      <c r="E35" s="1296"/>
    </row>
    <row r="36" spans="1:5">
      <c r="A36" s="1293"/>
      <c r="B36" s="1297"/>
      <c r="C36" s="1276"/>
      <c r="D36" s="1275"/>
      <c r="E36" s="1296"/>
    </row>
    <row r="37" spans="1:5">
      <c r="A37" s="1293"/>
      <c r="B37" s="1297"/>
      <c r="C37" s="1276"/>
      <c r="D37" s="1275"/>
      <c r="E37" s="1296"/>
    </row>
    <row r="38" spans="1:5">
      <c r="A38" s="1293"/>
      <c r="B38" s="1294"/>
      <c r="C38" s="1295"/>
      <c r="D38" s="1275"/>
      <c r="E38" s="1296"/>
    </row>
    <row r="39" spans="1:5">
      <c r="A39" s="1293"/>
      <c r="B39" s="1297"/>
      <c r="C39" s="1276"/>
      <c r="D39" s="1275"/>
      <c r="E39" s="1296"/>
    </row>
    <row r="40" spans="1:5">
      <c r="A40" s="1293"/>
      <c r="B40" s="1294"/>
      <c r="C40" s="1295"/>
      <c r="D40" s="1275"/>
      <c r="E40" s="1296"/>
    </row>
    <row r="41" spans="1:5">
      <c r="A41" s="1293"/>
      <c r="B41" s="1297"/>
      <c r="C41" s="1276"/>
      <c r="D41" s="1275"/>
      <c r="E41" s="1296"/>
    </row>
    <row r="42" spans="1:5">
      <c r="A42" s="1293"/>
      <c r="B42" s="1297"/>
      <c r="C42" s="1276"/>
      <c r="D42" s="1275"/>
      <c r="E42" s="1296"/>
    </row>
    <row r="43" spans="1:5">
      <c r="A43" s="1293"/>
      <c r="B43" s="1294"/>
      <c r="C43" s="1295"/>
      <c r="D43" s="1275"/>
      <c r="E43" s="1296"/>
    </row>
    <row r="44" spans="1:5">
      <c r="A44" s="1293"/>
      <c r="B44" s="1297"/>
      <c r="C44" s="1276"/>
      <c r="D44" s="1275"/>
      <c r="E44" s="1296"/>
    </row>
    <row r="45" spans="1:5">
      <c r="A45" s="1293"/>
      <c r="B45" s="1297"/>
      <c r="C45" s="1276"/>
      <c r="D45" s="1275"/>
      <c r="E45" s="1296"/>
    </row>
    <row r="46" spans="1:5">
      <c r="A46" s="1293"/>
      <c r="B46" s="1294"/>
      <c r="C46" s="1295"/>
      <c r="D46" s="1275"/>
      <c r="E46" s="1296"/>
    </row>
    <row r="47" spans="1:5">
      <c r="A47" s="1293"/>
      <c r="B47" s="1297"/>
      <c r="C47" s="1276"/>
      <c r="D47" s="1275"/>
      <c r="E47" s="1296"/>
    </row>
    <row r="48" spans="1:5">
      <c r="A48" s="1293"/>
      <c r="B48" s="1297"/>
      <c r="C48" s="1276"/>
      <c r="D48" s="1275"/>
      <c r="E48" s="1296"/>
    </row>
    <row r="49" spans="1:5">
      <c r="A49" s="1293"/>
      <c r="B49" s="1294"/>
      <c r="C49" s="1295"/>
      <c r="D49" s="1275"/>
      <c r="E49" s="1296"/>
    </row>
    <row r="50" spans="1:5">
      <c r="A50" s="1293"/>
      <c r="B50" s="1297"/>
      <c r="C50" s="1276"/>
      <c r="D50" s="1275"/>
      <c r="E50" s="1296"/>
    </row>
    <row r="51" spans="1:5">
      <c r="A51" s="1293"/>
      <c r="B51" s="1294"/>
      <c r="C51" s="1295"/>
      <c r="D51" s="1275"/>
      <c r="E51" s="1296"/>
    </row>
    <row r="52" spans="1:5">
      <c r="A52" s="1293"/>
      <c r="B52" s="1297"/>
      <c r="C52" s="1276"/>
      <c r="D52" s="1275"/>
      <c r="E52" s="1296"/>
    </row>
    <row r="54" spans="1:5">
      <c r="B54" s="1048"/>
      <c r="C54" s="1034"/>
    </row>
  </sheetData>
  <sheetProtection algorithmName="SHA-512" hashValue="Hpk4HT/mXP9N/QZDW+fEu8UTdTNl+qkHU7ivOcTNolzEweLRR7A9V22+NgH1k+75gKOJEmopdR4Jx8sPvjkSpQ==" saltValue="mS9ah2iMKYVTS4zPTAzLfw==" spinCount="100000" sheet="1" objects="1" scenarios="1"/>
  <mergeCells count="1">
    <mergeCell ref="A1:E1"/>
  </mergeCells>
  <pageMargins left="0.70866141732283472" right="0.70866141732283472" top="0.74803149606299213" bottom="0.74803149606299213" header="0.31496062992125984" footer="0.31496062992125984"/>
  <pageSetup paperSize="9" scale="60" fitToWidth="2"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351384-EEC6-4ED7-BA35-85EE1052D038}">
  <sheetPr published="0">
    <pageSetUpPr fitToPage="1"/>
  </sheetPr>
  <dimension ref="A1:Q90"/>
  <sheetViews>
    <sheetView showGridLines="0" zoomScaleNormal="100" workbookViewId="0">
      <selection activeCell="A2" sqref="A2"/>
    </sheetView>
  </sheetViews>
  <sheetFormatPr defaultColWidth="9.140625" defaultRowHeight="15"/>
  <cols>
    <col min="1" max="1" width="3.42578125" style="1097" customWidth="1"/>
    <col min="2" max="2" width="101.5703125" style="1166" customWidth="1"/>
    <col min="3" max="3" width="2.5703125" style="1" customWidth="1"/>
    <col min="4" max="4" width="15.5703125" style="1035" customWidth="1"/>
    <col min="5" max="5" width="15.5703125" style="1071" customWidth="1"/>
    <col min="6" max="16384" width="9.140625" style="1"/>
  </cols>
  <sheetData>
    <row r="1" spans="1:17" ht="15.4" customHeight="1" thickBot="1">
      <c r="A1" s="1648" t="str">
        <f>DNB&amp;" - ELEKTRICITEIT - Tarieflijst periodieke distributienettarieven "&amp;JAAR&amp;" - Afname"</f>
        <v>Naam distributienetbeheerder - ELEKTRICITEIT - Tarieflijst periodieke distributienettarieven 2022 - Afname</v>
      </c>
      <c r="B1" s="1644"/>
      <c r="C1" s="1644"/>
      <c r="D1" s="1644"/>
      <c r="E1" s="1645"/>
      <c r="F1" s="1096"/>
      <c r="G1" s="1096"/>
      <c r="H1" s="1096"/>
      <c r="I1" s="1096"/>
      <c r="J1" s="1096"/>
      <c r="K1" s="1096"/>
      <c r="L1" s="1096"/>
      <c r="M1" s="1096"/>
      <c r="N1" s="1096"/>
      <c r="O1" s="1096"/>
      <c r="P1" s="1096"/>
      <c r="Q1" s="1096"/>
    </row>
    <row r="2" spans="1:17" ht="15.75" thickBot="1"/>
    <row r="3" spans="1:17" ht="15.75" thickBot="1">
      <c r="A3" s="1646" t="s">
        <v>452</v>
      </c>
      <c r="B3" s="1647"/>
      <c r="C3" s="1098"/>
      <c r="D3" s="1099" t="s">
        <v>423</v>
      </c>
      <c r="E3" s="1128" t="s">
        <v>422</v>
      </c>
    </row>
    <row r="4" spans="1:17">
      <c r="A4" s="1130" t="s">
        <v>451</v>
      </c>
      <c r="C4" s="1101"/>
      <c r="D4" s="1102"/>
    </row>
    <row r="5" spans="1:17" ht="15.75" thickBot="1">
      <c r="B5" s="1167"/>
      <c r="C5" s="1034"/>
      <c r="D5" s="1102"/>
    </row>
    <row r="6" spans="1:17" ht="15.75" thickBot="1">
      <c r="A6" s="1168" t="s">
        <v>578</v>
      </c>
      <c r="B6" s="1169"/>
      <c r="C6" s="584"/>
      <c r="D6" s="1170" t="s">
        <v>423</v>
      </c>
      <c r="E6" s="1171" t="s">
        <v>422</v>
      </c>
    </row>
    <row r="7" spans="1:17">
      <c r="A7" s="1103">
        <v>1</v>
      </c>
      <c r="B7" s="1172" t="s">
        <v>420</v>
      </c>
      <c r="C7" s="1105"/>
      <c r="D7" s="1144"/>
      <c r="E7" s="1145"/>
    </row>
    <row r="8" spans="1:17" ht="32.25" customHeight="1">
      <c r="A8" s="1108" t="s">
        <v>419</v>
      </c>
      <c r="B8" s="1113" t="s">
        <v>450</v>
      </c>
      <c r="D8" s="1132" t="e">
        <f>ROUND(INDEX(Tabel4B[Afnameklanten op LS met piekmeting],4),7)</f>
        <v>#DIV/0!</v>
      </c>
      <c r="E8" s="1109" t="s">
        <v>435</v>
      </c>
      <c r="F8" s="1112"/>
    </row>
    <row r="9" spans="1:17" ht="32.25" customHeight="1">
      <c r="A9" s="1108"/>
      <c r="B9" s="1284" t="s">
        <v>584</v>
      </c>
      <c r="D9" s="1289" t="e">
        <f>ROUND($D$8/12,7)</f>
        <v>#DIV/0!</v>
      </c>
      <c r="E9" s="1290" t="s">
        <v>412</v>
      </c>
      <c r="F9" s="1112"/>
    </row>
    <row r="10" spans="1:17">
      <c r="A10" s="1108" t="s">
        <v>416</v>
      </c>
      <c r="B10" s="1113" t="s">
        <v>433</v>
      </c>
      <c r="D10" s="1132" t="e">
        <f>ROUND(INDEX(Tabel4B[Afnameklanten op LS met piekmeting],6),7)</f>
        <v>#DIV/0!</v>
      </c>
      <c r="E10" s="1109" t="s">
        <v>399</v>
      </c>
      <c r="F10" s="1112"/>
    </row>
    <row r="11" spans="1:17">
      <c r="A11" s="1108"/>
      <c r="B11" s="1113"/>
      <c r="D11" s="1102"/>
      <c r="E11" s="1109"/>
    </row>
    <row r="12" spans="1:17">
      <c r="A12" s="1108">
        <v>2</v>
      </c>
      <c r="B12" s="1173" t="s">
        <v>407</v>
      </c>
      <c r="C12" s="1034"/>
      <c r="D12" s="1102"/>
      <c r="E12" s="1109"/>
    </row>
    <row r="13" spans="1:17">
      <c r="A13" s="1108"/>
      <c r="B13" s="1111" t="s">
        <v>565</v>
      </c>
      <c r="D13" s="1135" t="e">
        <f>ROUND(INDEX(Tabel4B[Afnameklanten op LS met piekmeting],9),2)</f>
        <v>#DIV/0!</v>
      </c>
      <c r="E13" s="1109" t="s">
        <v>406</v>
      </c>
    </row>
    <row r="14" spans="1:17">
      <c r="A14" s="1108"/>
      <c r="B14" s="1111" t="s">
        <v>566</v>
      </c>
      <c r="D14" s="1135" t="e">
        <f>ROUND(INDEX(Tabel4B[Afnameklanten op LS met piekmeting],12),2)</f>
        <v>#DIV/0!</v>
      </c>
      <c r="E14" s="1109" t="s">
        <v>406</v>
      </c>
    </row>
    <row r="15" spans="1:17">
      <c r="A15" s="1108"/>
      <c r="B15" s="1111" t="s">
        <v>567</v>
      </c>
      <c r="D15" s="1135" t="e">
        <f>ROUND(INDEX(Tabel4B[Afnameklanten op LS met piekmeting],11),2)</f>
        <v>#DIV/0!</v>
      </c>
      <c r="E15" s="1109" t="s">
        <v>406</v>
      </c>
    </row>
    <row r="16" spans="1:17">
      <c r="A16" s="1108"/>
      <c r="B16" s="1113"/>
      <c r="D16" s="1102"/>
      <c r="E16" s="1109"/>
    </row>
    <row r="17" spans="1:6">
      <c r="A17" s="1108">
        <v>3</v>
      </c>
      <c r="B17" s="1173" t="s">
        <v>405</v>
      </c>
      <c r="C17" s="1034"/>
      <c r="D17" s="1102"/>
      <c r="E17" s="1109"/>
    </row>
    <row r="18" spans="1:6">
      <c r="A18" s="1108"/>
      <c r="B18" s="1113" t="s">
        <v>433</v>
      </c>
      <c r="C18" s="1034"/>
      <c r="D18" s="1132" t="e">
        <f>ROUND(INDEX(Tabel4B[Afnameklanten op LS met piekmeting],15),7)</f>
        <v>#VALUE!</v>
      </c>
      <c r="E18" s="1109" t="s">
        <v>399</v>
      </c>
    </row>
    <row r="19" spans="1:6">
      <c r="A19" s="1108"/>
      <c r="B19" s="1113" t="s">
        <v>432</v>
      </c>
      <c r="C19" s="1034"/>
      <c r="D19" s="1132" t="e">
        <f>ROUND(INDEX(Tabel4B[Afnameklanten op LS met piekmeting],16),7)</f>
        <v>#VALUE!</v>
      </c>
      <c r="E19" s="1109" t="s">
        <v>399</v>
      </c>
    </row>
    <row r="20" spans="1:6">
      <c r="A20" s="1108"/>
      <c r="B20" s="1173"/>
      <c r="C20" s="1034"/>
      <c r="D20" s="1102"/>
      <c r="E20" s="1109"/>
    </row>
    <row r="21" spans="1:6">
      <c r="A21" s="1108">
        <v>4</v>
      </c>
      <c r="B21" s="1173" t="s">
        <v>404</v>
      </c>
      <c r="C21" s="1034"/>
      <c r="D21" s="1132" t="e">
        <f>ROUND(INDEX(Tabel4B[Afnameklanten op LS met piekmeting],17),7)</f>
        <v>#VALUE!</v>
      </c>
      <c r="E21" s="1109" t="s">
        <v>399</v>
      </c>
      <c r="F21" s="1112"/>
    </row>
    <row r="22" spans="1:6">
      <c r="A22" s="1108"/>
      <c r="B22" s="1173"/>
      <c r="C22" s="1034"/>
      <c r="D22" s="1102"/>
      <c r="E22" s="1109"/>
      <c r="F22" s="1112"/>
    </row>
    <row r="23" spans="1:6">
      <c r="A23" s="1108">
        <v>5</v>
      </c>
      <c r="B23" s="1173" t="s">
        <v>442</v>
      </c>
      <c r="C23" s="1034"/>
      <c r="D23" s="1132" t="e">
        <f>ROUND(SUM(D$25:D$26),7)</f>
        <v>#DIV/0!</v>
      </c>
      <c r="E23" s="1109" t="s">
        <v>399</v>
      </c>
    </row>
    <row r="24" spans="1:6">
      <c r="A24" s="1108"/>
      <c r="B24" s="1113" t="s">
        <v>402</v>
      </c>
      <c r="C24" s="1034"/>
      <c r="D24" s="1102"/>
      <c r="E24" s="1109"/>
    </row>
    <row r="25" spans="1:6">
      <c r="A25" s="1108"/>
      <c r="B25" s="1157" t="s">
        <v>540</v>
      </c>
      <c r="C25" s="1101"/>
      <c r="D25" s="1132" t="e">
        <f>ROUND(INDEX(Tabel4B[Afnameklanten op LS met piekmeting],19),7)</f>
        <v>#DIV/0!</v>
      </c>
      <c r="E25" s="1137" t="s">
        <v>399</v>
      </c>
    </row>
    <row r="26" spans="1:6">
      <c r="A26" s="1108"/>
      <c r="B26" s="1157" t="s">
        <v>401</v>
      </c>
      <c r="C26" s="1101"/>
      <c r="D26" s="1132" t="e">
        <f>ROUND(INDEX(Tabel4B[Afnameklanten op LS met piekmeting],20),7)</f>
        <v>#DIV/0!</v>
      </c>
      <c r="E26" s="1137" t="s">
        <v>399</v>
      </c>
    </row>
    <row r="27" spans="1:6">
      <c r="A27" s="1108"/>
      <c r="B27" s="1173"/>
      <c r="C27" s="1034"/>
      <c r="D27" s="1102"/>
      <c r="E27" s="1109"/>
    </row>
    <row r="28" spans="1:6" ht="15.75" thickBot="1">
      <c r="A28" s="1119"/>
      <c r="B28" s="1120" t="s">
        <v>449</v>
      </c>
      <c r="C28" s="1121"/>
      <c r="D28" s="1140">
        <f>'Max Afname LS'!$K$14</f>
        <v>0</v>
      </c>
      <c r="E28" s="1141" t="s">
        <v>399</v>
      </c>
    </row>
    <row r="29" spans="1:6" ht="15.75" thickBot="1">
      <c r="B29" s="590"/>
    </row>
    <row r="30" spans="1:6" ht="15.75" thickBot="1">
      <c r="A30" s="1142" t="s">
        <v>477</v>
      </c>
      <c r="B30" s="1169"/>
      <c r="C30" s="584"/>
      <c r="D30" s="1170" t="s">
        <v>423</v>
      </c>
      <c r="E30" s="1171" t="s">
        <v>422</v>
      </c>
    </row>
    <row r="31" spans="1:6">
      <c r="A31" s="1103">
        <v>1</v>
      </c>
      <c r="B31" s="1172" t="s">
        <v>420</v>
      </c>
      <c r="C31" s="1105"/>
      <c r="D31" s="1144"/>
      <c r="E31" s="1145"/>
    </row>
    <row r="32" spans="1:6" ht="27" customHeight="1">
      <c r="A32" s="1108" t="s">
        <v>419</v>
      </c>
      <c r="B32" s="1113" t="s">
        <v>448</v>
      </c>
      <c r="C32" s="161"/>
      <c r="D32" s="1163" t="e">
        <f>ROUND(INDEX(Tabel4B[Afnameklanten op LS met klassieke meter],5),2)</f>
        <v>#DIV/0!</v>
      </c>
      <c r="E32" s="1109" t="s">
        <v>447</v>
      </c>
      <c r="F32" s="1112"/>
    </row>
    <row r="33" spans="1:6">
      <c r="A33" s="1108" t="s">
        <v>416</v>
      </c>
      <c r="B33" s="1113" t="s">
        <v>433</v>
      </c>
      <c r="C33" s="161"/>
      <c r="D33" s="1160" t="e">
        <f>ROUND(INDEX(Tabel4B[Afnameklanten op LS met klassieke meter],6),7)</f>
        <v>#DIV/0!</v>
      </c>
      <c r="E33" s="1109" t="s">
        <v>399</v>
      </c>
      <c r="F33" s="1112"/>
    </row>
    <row r="34" spans="1:6">
      <c r="A34" s="1108"/>
      <c r="B34" s="1113"/>
      <c r="C34" s="161"/>
      <c r="D34" s="1158"/>
      <c r="E34" s="1109"/>
    </row>
    <row r="35" spans="1:6">
      <c r="A35" s="1108">
        <v>2</v>
      </c>
      <c r="B35" s="1173" t="s">
        <v>407</v>
      </c>
      <c r="C35" s="1159"/>
      <c r="D35" s="1158"/>
      <c r="E35" s="1109"/>
    </row>
    <row r="36" spans="1:6">
      <c r="A36" s="1108"/>
      <c r="B36" s="1113" t="s">
        <v>567</v>
      </c>
      <c r="C36" s="161"/>
      <c r="D36" s="1163" t="e">
        <f>ROUND(INDEX(Tabel4B[Afnameklanten op LS met klassieke meter],13),2)</f>
        <v>#DIV/0!</v>
      </c>
      <c r="E36" s="1109" t="s">
        <v>406</v>
      </c>
    </row>
    <row r="37" spans="1:6">
      <c r="A37" s="1108"/>
      <c r="B37" s="1113"/>
      <c r="C37" s="161"/>
      <c r="D37" s="1158"/>
      <c r="E37" s="1109"/>
    </row>
    <row r="38" spans="1:6">
      <c r="A38" s="1108">
        <v>3</v>
      </c>
      <c r="B38" s="1173" t="s">
        <v>405</v>
      </c>
      <c r="C38" s="1159"/>
      <c r="D38" s="1158"/>
      <c r="E38" s="1109"/>
    </row>
    <row r="39" spans="1:6">
      <c r="A39" s="1108"/>
      <c r="B39" s="1113" t="s">
        <v>433</v>
      </c>
      <c r="C39" s="1159"/>
      <c r="D39" s="1160" t="e">
        <f>ROUND(INDEX(Tabel4B[Afnameklanten op LS met klassieke meter],15),7)</f>
        <v>#VALUE!</v>
      </c>
      <c r="E39" s="1109" t="s">
        <v>399</v>
      </c>
    </row>
    <row r="40" spans="1:6">
      <c r="A40" s="1108"/>
      <c r="B40" s="1113" t="s">
        <v>432</v>
      </c>
      <c r="C40" s="1159"/>
      <c r="D40" s="1160" t="e">
        <f>ROUND(INDEX(Tabel4B[Afnameklanten op LS met klassieke meter],16),7)</f>
        <v>#VALUE!</v>
      </c>
      <c r="E40" s="1109" t="s">
        <v>399</v>
      </c>
    </row>
    <row r="41" spans="1:6">
      <c r="A41" s="1108"/>
      <c r="B41" s="1173"/>
      <c r="C41" s="1159"/>
      <c r="D41" s="1158"/>
      <c r="E41" s="1109"/>
    </row>
    <row r="42" spans="1:6">
      <c r="A42" s="1108">
        <v>4</v>
      </c>
      <c r="B42" s="1173" t="s">
        <v>404</v>
      </c>
      <c r="C42" s="1159"/>
      <c r="D42" s="1160" t="e">
        <f>ROUND(INDEX(Tabel4B[Afnameklanten op LS met klassieke meter],17),7)</f>
        <v>#VALUE!</v>
      </c>
      <c r="E42" s="1109" t="s">
        <v>399</v>
      </c>
      <c r="F42" s="1112"/>
    </row>
    <row r="43" spans="1:6">
      <c r="A43" s="1108"/>
      <c r="B43" s="1173"/>
      <c r="C43" s="1159"/>
      <c r="D43" s="1158"/>
      <c r="E43" s="1109"/>
      <c r="F43" s="1112"/>
    </row>
    <row r="44" spans="1:6">
      <c r="A44" s="1108">
        <v>5</v>
      </c>
      <c r="B44" s="1173" t="s">
        <v>442</v>
      </c>
      <c r="C44" s="1159"/>
      <c r="D44" s="1160" t="e">
        <f>ROUND(SUM(D$46:D$47),7)</f>
        <v>#DIV/0!</v>
      </c>
      <c r="E44" s="1109" t="s">
        <v>399</v>
      </c>
    </row>
    <row r="45" spans="1:6">
      <c r="A45" s="1108"/>
      <c r="B45" s="1113" t="s">
        <v>402</v>
      </c>
      <c r="C45" s="1159"/>
      <c r="D45" s="1158"/>
      <c r="E45" s="1109"/>
    </row>
    <row r="46" spans="1:6">
      <c r="A46" s="1108"/>
      <c r="B46" s="1157" t="s">
        <v>539</v>
      </c>
      <c r="C46" s="1161"/>
      <c r="D46" s="1160" t="e">
        <f>ROUND(INDEX(Tabel4B[Afnameklanten op LS met klassieke meter],19),7)</f>
        <v>#DIV/0!</v>
      </c>
      <c r="E46" s="1137" t="s">
        <v>399</v>
      </c>
    </row>
    <row r="47" spans="1:6" ht="15.75" thickBot="1">
      <c r="A47" s="1119"/>
      <c r="B47" s="1174" t="s">
        <v>401</v>
      </c>
      <c r="C47" s="1164"/>
      <c r="D47" s="1140" t="e">
        <f>ROUND(INDEX(Tabel4B[Afnameklanten op LS met klassieke meter],20),7)</f>
        <v>#DIV/0!</v>
      </c>
      <c r="E47" s="1165" t="s">
        <v>399</v>
      </c>
    </row>
    <row r="48" spans="1:6" ht="15.75" thickBot="1">
      <c r="B48" s="590"/>
    </row>
    <row r="49" spans="1:6" ht="15.75" thickBot="1">
      <c r="A49" s="1142" t="s">
        <v>476</v>
      </c>
      <c r="B49" s="1175"/>
      <c r="C49" s="1126"/>
      <c r="D49" s="1170" t="s">
        <v>423</v>
      </c>
      <c r="E49" s="1171" t="s">
        <v>422</v>
      </c>
    </row>
    <row r="50" spans="1:6">
      <c r="A50" s="1103">
        <v>1</v>
      </c>
      <c r="B50" s="1176" t="s">
        <v>434</v>
      </c>
      <c r="C50" s="275"/>
      <c r="D50" s="1144"/>
      <c r="E50" s="1145"/>
      <c r="F50" s="1112"/>
    </row>
    <row r="51" spans="1:6" ht="27" customHeight="1">
      <c r="A51" s="1108" t="s">
        <v>419</v>
      </c>
      <c r="B51" s="1113" t="s">
        <v>576</v>
      </c>
      <c r="C51" s="161"/>
      <c r="D51" s="1163" t="e">
        <f>ROUND(INDEX(Tabel4B[Afnameklanten op LS met klassieke meter],5),2)</f>
        <v>#DIV/0!</v>
      </c>
      <c r="E51" s="1109" t="s">
        <v>447</v>
      </c>
      <c r="F51" s="1112"/>
    </row>
    <row r="52" spans="1:6" ht="18">
      <c r="A52" s="1108" t="s">
        <v>416</v>
      </c>
      <c r="B52" s="1113" t="s">
        <v>577</v>
      </c>
      <c r="C52" s="161"/>
      <c r="D52" s="1160" t="e">
        <f>ROUND(INDEX(Tabel4B[Afnameklanten op LS met klassieke meter],6),7)</f>
        <v>#DIV/0!</v>
      </c>
      <c r="E52" s="1109" t="s">
        <v>438</v>
      </c>
      <c r="F52" s="1112"/>
    </row>
    <row r="53" spans="1:6">
      <c r="A53" s="1108"/>
      <c r="B53" s="1177"/>
      <c r="C53" s="1114"/>
      <c r="D53" s="1102"/>
      <c r="E53" s="1109"/>
      <c r="F53" s="1112"/>
    </row>
    <row r="54" spans="1:6">
      <c r="A54" s="1108">
        <v>2</v>
      </c>
      <c r="B54" s="1178" t="s">
        <v>407</v>
      </c>
      <c r="C54" s="1034"/>
      <c r="D54" s="1102"/>
      <c r="E54" s="1109"/>
    </row>
    <row r="55" spans="1:6">
      <c r="A55" s="1108"/>
      <c r="B55" s="1111" t="s">
        <v>567</v>
      </c>
      <c r="D55" s="1163" t="e">
        <f>ROUND(INDEX(Tabel4B[Afnameklanten op LS (∑)],11),2)</f>
        <v>#DIV/0!</v>
      </c>
      <c r="E55" s="1109" t="s">
        <v>406</v>
      </c>
    </row>
    <row r="56" spans="1:6">
      <c r="A56" s="1108"/>
      <c r="B56" s="1113"/>
      <c r="D56" s="1102"/>
      <c r="E56" s="1109"/>
    </row>
    <row r="57" spans="1:6" ht="27">
      <c r="A57" s="1108">
        <v>3</v>
      </c>
      <c r="B57" s="1178" t="s">
        <v>441</v>
      </c>
      <c r="C57" s="1034"/>
      <c r="D57" s="1102"/>
      <c r="E57" s="1109"/>
    </row>
    <row r="58" spans="1:6" ht="18">
      <c r="A58" s="1108"/>
      <c r="B58" s="1113" t="s">
        <v>433</v>
      </c>
      <c r="C58" s="1034"/>
      <c r="D58" s="1132" t="e">
        <f>ROUND(INDEX(Tabel4B[Afnameklanten op LS met klassieke meter],15),7)</f>
        <v>#VALUE!</v>
      </c>
      <c r="E58" s="1109" t="s">
        <v>438</v>
      </c>
    </row>
    <row r="59" spans="1:6">
      <c r="A59" s="1108"/>
      <c r="B59" s="1113" t="s">
        <v>432</v>
      </c>
      <c r="C59" s="1034"/>
      <c r="D59" s="1132" t="e">
        <f>ROUND(INDEX(Tabel4B[Afnameklanten op LS met klassieke meter],16),7)</f>
        <v>#VALUE!</v>
      </c>
      <c r="E59" s="1109" t="s">
        <v>399</v>
      </c>
    </row>
    <row r="60" spans="1:6">
      <c r="A60" s="1108"/>
      <c r="B60" s="1113"/>
      <c r="C60" s="1034"/>
      <c r="D60" s="1102"/>
      <c r="E60" s="1109"/>
    </row>
    <row r="61" spans="1:6" ht="18">
      <c r="A61" s="1108">
        <v>4</v>
      </c>
      <c r="B61" s="1178" t="s">
        <v>440</v>
      </c>
      <c r="C61" s="1034"/>
      <c r="D61" s="1132" t="e">
        <f>ROUND(INDEX(Tabel4B[Afnameklanten op LS met klassieke meter],17),7)</f>
        <v>#VALUE!</v>
      </c>
      <c r="E61" s="1109" t="s">
        <v>438</v>
      </c>
      <c r="F61" s="1112"/>
    </row>
    <row r="62" spans="1:6">
      <c r="A62" s="1108"/>
      <c r="B62" s="1178"/>
      <c r="C62" s="1034"/>
      <c r="D62" s="1102"/>
      <c r="E62" s="1109"/>
      <c r="F62" s="1112"/>
    </row>
    <row r="63" spans="1:6" ht="18">
      <c r="A63" s="1108">
        <v>5</v>
      </c>
      <c r="B63" s="1178" t="s">
        <v>439</v>
      </c>
      <c r="C63" s="1034"/>
      <c r="D63" s="1132" t="e">
        <f>ROUND(SUM(D$65:D$66),7)</f>
        <v>#DIV/0!</v>
      </c>
      <c r="E63" s="1109" t="s">
        <v>438</v>
      </c>
    </row>
    <row r="64" spans="1:6">
      <c r="A64" s="1108"/>
      <c r="B64" s="1113" t="s">
        <v>402</v>
      </c>
      <c r="C64" s="1034"/>
      <c r="D64" s="1102"/>
      <c r="E64" s="1109"/>
    </row>
    <row r="65" spans="1:5">
      <c r="A65" s="1108"/>
      <c r="B65" s="1157" t="s">
        <v>540</v>
      </c>
      <c r="C65" s="1101"/>
      <c r="D65" s="1132" t="e">
        <f>ROUND(INDEX(Tabel4B[Afnameklanten op LS met klassieke meter],19),7)</f>
        <v>#DIV/0!</v>
      </c>
      <c r="E65" s="1137" t="s">
        <v>437</v>
      </c>
    </row>
    <row r="66" spans="1:5">
      <c r="A66" s="1108"/>
      <c r="B66" s="1157" t="s">
        <v>401</v>
      </c>
      <c r="C66" s="1101"/>
      <c r="D66" s="1132" t="e">
        <f>ROUND(INDEX(Tabel4B[Afnameklanten op LS met klassieke meter],20),7)</f>
        <v>#DIV/0!</v>
      </c>
      <c r="E66" s="1137" t="s">
        <v>437</v>
      </c>
    </row>
    <row r="67" spans="1:5">
      <c r="A67" s="1108"/>
      <c r="B67" s="1178"/>
      <c r="C67" s="1034"/>
      <c r="D67" s="1102"/>
      <c r="E67" s="1109"/>
    </row>
    <row r="68" spans="1:5" ht="27.75" thickBot="1">
      <c r="A68" s="1119"/>
      <c r="B68" s="1179" t="s">
        <v>436</v>
      </c>
      <c r="C68" s="1121"/>
      <c r="D68" s="1140" t="e">
        <f>ROUND(INDEX(Tabel4B[Prosumenten met terugdraaiende teller op LS],21),2)</f>
        <v>#DIV/0!</v>
      </c>
      <c r="E68" s="1141" t="s">
        <v>435</v>
      </c>
    </row>
    <row r="70" spans="1:5">
      <c r="A70" s="1303"/>
      <c r="B70" s="1304"/>
      <c r="C70" s="1276"/>
      <c r="D70" s="1275"/>
      <c r="E70" s="1296"/>
    </row>
    <row r="71" spans="1:5">
      <c r="A71" s="1303"/>
      <c r="B71" s="1304"/>
      <c r="C71" s="1276"/>
      <c r="D71" s="1275"/>
      <c r="E71" s="1296"/>
    </row>
    <row r="72" spans="1:5">
      <c r="A72" s="1293"/>
      <c r="B72" s="1304"/>
      <c r="C72" s="1276"/>
      <c r="D72" s="1275"/>
      <c r="E72" s="1296"/>
    </row>
    <row r="73" spans="1:5">
      <c r="A73" s="1293"/>
      <c r="B73" s="1304"/>
      <c r="C73" s="1276"/>
      <c r="D73" s="1275"/>
      <c r="E73" s="1296"/>
    </row>
    <row r="74" spans="1:5">
      <c r="A74" s="1293"/>
      <c r="B74" s="1305"/>
      <c r="C74" s="1295"/>
      <c r="D74" s="1275"/>
      <c r="E74" s="1296"/>
    </row>
    <row r="75" spans="1:5">
      <c r="A75" s="1293"/>
      <c r="B75" s="1304"/>
      <c r="C75" s="1276"/>
      <c r="D75" s="1275"/>
      <c r="E75" s="1296"/>
    </row>
    <row r="76" spans="1:5">
      <c r="A76" s="1293"/>
      <c r="B76" s="1305"/>
      <c r="C76" s="1295"/>
      <c r="D76" s="1275"/>
      <c r="E76" s="1296"/>
    </row>
    <row r="77" spans="1:5">
      <c r="A77" s="1293"/>
      <c r="B77" s="1304"/>
      <c r="C77" s="1276"/>
      <c r="D77" s="1275"/>
      <c r="E77" s="1296"/>
    </row>
    <row r="78" spans="1:5">
      <c r="A78" s="1293"/>
      <c r="B78" s="1304"/>
      <c r="C78" s="1276"/>
      <c r="D78" s="1275"/>
      <c r="E78" s="1296"/>
    </row>
    <row r="79" spans="1:5">
      <c r="A79" s="1293"/>
      <c r="B79" s="1305"/>
      <c r="C79" s="1295"/>
      <c r="D79" s="1275"/>
      <c r="E79" s="1296"/>
    </row>
    <row r="80" spans="1:5">
      <c r="A80" s="1293"/>
      <c r="B80" s="1304"/>
      <c r="C80" s="1276"/>
      <c r="D80" s="1275"/>
      <c r="E80" s="1296"/>
    </row>
    <row r="81" spans="1:5">
      <c r="A81" s="1293"/>
      <c r="B81" s="1304"/>
      <c r="C81" s="1276"/>
      <c r="D81" s="1275"/>
      <c r="E81" s="1296"/>
    </row>
    <row r="82" spans="1:5">
      <c r="A82" s="1293"/>
      <c r="B82" s="1305"/>
      <c r="C82" s="1295"/>
      <c r="D82" s="1275"/>
      <c r="E82" s="1296"/>
    </row>
    <row r="83" spans="1:5">
      <c r="A83" s="1293"/>
      <c r="B83" s="1304"/>
      <c r="C83" s="1276"/>
      <c r="D83" s="1275"/>
      <c r="E83" s="1296"/>
    </row>
    <row r="84" spans="1:5">
      <c r="A84" s="1293"/>
      <c r="B84" s="1304"/>
      <c r="C84" s="1276"/>
      <c r="D84" s="1275"/>
      <c r="E84" s="1296"/>
    </row>
    <row r="85" spans="1:5">
      <c r="A85" s="1293"/>
      <c r="B85" s="1305"/>
      <c r="C85" s="1295"/>
      <c r="D85" s="1275"/>
      <c r="E85" s="1296"/>
    </row>
    <row r="86" spans="1:5">
      <c r="A86" s="1293"/>
      <c r="B86" s="1304"/>
      <c r="C86" s="1276"/>
      <c r="D86" s="1275"/>
      <c r="E86" s="1296"/>
    </row>
    <row r="87" spans="1:5">
      <c r="A87" s="1293"/>
      <c r="B87" s="1305"/>
      <c r="C87" s="1295"/>
      <c r="D87" s="1275"/>
      <c r="E87" s="1296"/>
    </row>
    <row r="88" spans="1:5">
      <c r="A88" s="1293"/>
      <c r="B88" s="1304"/>
      <c r="C88" s="1276"/>
      <c r="D88" s="1275"/>
      <c r="E88" s="1296"/>
    </row>
    <row r="89" spans="1:5">
      <c r="A89" s="1293"/>
      <c r="B89" s="1304"/>
      <c r="C89" s="1276"/>
      <c r="D89" s="1275"/>
      <c r="E89" s="1296"/>
    </row>
    <row r="90" spans="1:5">
      <c r="B90" s="1167"/>
      <c r="C90" s="1034"/>
    </row>
  </sheetData>
  <sheetProtection algorithmName="SHA-512" hashValue="e4g4XYPaXfoNp0R3sh+RKk/JWmwVFonzb1Qw1yi8iK3Sk1kjFPND3isWbA73Mm667cDFHpbWYZTq7LtO/ZxALg==" saltValue="qcXxQQHT43lwKtQlsGqzdA==" spinCount="100000" sheet="1" objects="1" scenarios="1"/>
  <mergeCells count="2">
    <mergeCell ref="A3:B3"/>
    <mergeCell ref="A1:E1"/>
  </mergeCells>
  <pageMargins left="0.70866141732283472" right="0.70866141732283472" top="0.74803149606299213" bottom="0.74803149606299213" header="0.31496062992125984" footer="0.31496062992125984"/>
  <pageSetup paperSize="9" scale="50" fitToWidth="2" orientation="portrait" r:id="rId1"/>
  <rowBreaks count="1" manualBreakCount="1">
    <brk id="48" max="4" man="1"/>
  </rowBreak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945334-11A2-4755-8256-FB94368758B7}">
  <sheetPr published="0">
    <pageSetUpPr fitToPage="1"/>
  </sheetPr>
  <dimension ref="A1:Q79"/>
  <sheetViews>
    <sheetView showGridLines="0" zoomScaleNormal="100" workbookViewId="0">
      <selection activeCell="A2" sqref="A2"/>
    </sheetView>
  </sheetViews>
  <sheetFormatPr defaultColWidth="9.140625" defaultRowHeight="15"/>
  <cols>
    <col min="1" max="1" width="3.5703125" style="1031" bestFit="1" customWidth="1"/>
    <col min="2" max="2" width="96.42578125" style="1035" customWidth="1"/>
    <col min="3" max="3" width="2.5703125" style="1" customWidth="1"/>
    <col min="4" max="4" width="15.5703125" style="1035" customWidth="1"/>
    <col min="5" max="5" width="15.5703125" style="1071" customWidth="1"/>
    <col min="6" max="16384" width="9.140625" style="1"/>
  </cols>
  <sheetData>
    <row r="1" spans="1:17" ht="16.5" thickBot="1">
      <c r="A1" s="1648" t="str">
        <f>DNB&amp;" - ELEKTRICITEIT - Tarieflijst periodieke distributienettarieven "&amp;JAAR&amp;" - Afname"</f>
        <v>Naam distributienetbeheerder - ELEKTRICITEIT - Tarieflijst periodieke distributienettarieven 2022 - Afname</v>
      </c>
      <c r="B1" s="1644"/>
      <c r="C1" s="1644"/>
      <c r="D1" s="1644"/>
      <c r="E1" s="1645"/>
      <c r="F1" s="1096"/>
      <c r="G1" s="1096"/>
      <c r="H1" s="1096"/>
      <c r="I1" s="1096"/>
      <c r="J1" s="1096"/>
      <c r="K1" s="1096"/>
      <c r="L1" s="1096"/>
      <c r="M1" s="1096"/>
      <c r="N1" s="1096"/>
      <c r="O1" s="1096"/>
      <c r="P1" s="1096"/>
      <c r="Q1" s="1096"/>
    </row>
    <row r="2" spans="1:17" ht="15.75" thickBot="1"/>
    <row r="3" spans="1:17" ht="15.75" thickBot="1">
      <c r="A3" s="1142" t="s">
        <v>457</v>
      </c>
      <c r="B3" s="1147"/>
      <c r="C3" s="1098"/>
      <c r="D3" s="1099" t="s">
        <v>423</v>
      </c>
      <c r="E3" s="1128" t="s">
        <v>422</v>
      </c>
    </row>
    <row r="4" spans="1:17">
      <c r="A4" s="1074" t="s">
        <v>456</v>
      </c>
      <c r="C4" s="1101"/>
      <c r="D4" s="1102"/>
    </row>
    <row r="5" spans="1:17" ht="15.75" thickBot="1">
      <c r="C5" s="1034"/>
      <c r="D5" s="1102"/>
    </row>
    <row r="6" spans="1:17" ht="15.75" thickBot="1">
      <c r="A6" s="1180" t="s">
        <v>455</v>
      </c>
      <c r="B6" s="1180"/>
      <c r="C6" s="1126"/>
      <c r="D6" s="1170" t="s">
        <v>423</v>
      </c>
      <c r="E6" s="1171" t="s">
        <v>422</v>
      </c>
    </row>
    <row r="7" spans="1:17">
      <c r="A7" s="1103">
        <v>1</v>
      </c>
      <c r="B7" s="1104" t="s">
        <v>420</v>
      </c>
      <c r="C7" s="1105"/>
      <c r="D7" s="1144"/>
      <c r="E7" s="1145"/>
    </row>
    <row r="8" spans="1:17">
      <c r="A8" s="1108" t="s">
        <v>419</v>
      </c>
      <c r="B8" s="1109" t="s">
        <v>454</v>
      </c>
      <c r="D8" s="1132" t="e">
        <f>ROUND($D$9/12,7)</f>
        <v>#VALUE!</v>
      </c>
      <c r="E8" s="1109" t="s">
        <v>582</v>
      </c>
      <c r="F8" s="1112"/>
    </row>
    <row r="9" spans="1:17">
      <c r="A9" s="1108"/>
      <c r="B9" s="1284" t="s">
        <v>584</v>
      </c>
      <c r="D9" s="1289" t="e">
        <f>ROUND(INDEX(Tabel4B[Doorvoer op 26-1kV],1),7)</f>
        <v>#VALUE!</v>
      </c>
      <c r="E9" s="1290" t="s">
        <v>417</v>
      </c>
      <c r="F9" s="1112"/>
    </row>
    <row r="10" spans="1:17">
      <c r="A10" s="1108" t="s">
        <v>416</v>
      </c>
      <c r="B10" s="1109" t="s">
        <v>415</v>
      </c>
      <c r="D10" s="1132" t="e">
        <f>ROUND(INDEX(Tabel4B[Doorvoer op 26-1kV],2),7)</f>
        <v>#VALUE!</v>
      </c>
      <c r="E10" s="1109" t="s">
        <v>412</v>
      </c>
      <c r="F10" s="1112"/>
    </row>
    <row r="11" spans="1:17" ht="39">
      <c r="A11" s="1108" t="s">
        <v>414</v>
      </c>
      <c r="B11" s="1113" t="s">
        <v>413</v>
      </c>
      <c r="C11" s="1114"/>
      <c r="D11" s="1132" t="e">
        <f>ROUND(INDEX(Tabel4B[Doorvoer op 26-1kV],3),7)</f>
        <v>#VALUE!</v>
      </c>
      <c r="E11" s="1109" t="s">
        <v>412</v>
      </c>
    </row>
    <row r="12" spans="1:17">
      <c r="A12" s="1108"/>
      <c r="B12" s="1113"/>
      <c r="C12" s="1114"/>
      <c r="D12" s="1102"/>
      <c r="E12" s="1109"/>
    </row>
    <row r="13" spans="1:17">
      <c r="A13" s="1108">
        <v>2</v>
      </c>
      <c r="B13" s="1115" t="s">
        <v>411</v>
      </c>
      <c r="C13" s="1034"/>
      <c r="D13" s="1102"/>
      <c r="E13" s="1109"/>
    </row>
    <row r="14" spans="1:17">
      <c r="A14" s="1108"/>
      <c r="B14" s="1109" t="s">
        <v>453</v>
      </c>
      <c r="D14" s="1298"/>
      <c r="E14" s="1109"/>
    </row>
    <row r="15" spans="1:17" ht="39">
      <c r="A15" s="1108"/>
      <c r="B15" s="1113" t="s">
        <v>409</v>
      </c>
      <c r="C15" s="593"/>
      <c r="D15" s="1132" t="e">
        <f>ROUND(INDEX(Tabel4B[Doorvoer op 26-1kV],8),7)</f>
        <v>#VALUE!</v>
      </c>
      <c r="E15" s="1109" t="s">
        <v>408</v>
      </c>
    </row>
    <row r="16" spans="1:17">
      <c r="A16" s="1108"/>
      <c r="B16" s="1109"/>
      <c r="D16" s="1102"/>
      <c r="E16" s="1109"/>
    </row>
    <row r="17" spans="1:6">
      <c r="A17" s="1108">
        <v>3</v>
      </c>
      <c r="B17" s="1115" t="s">
        <v>407</v>
      </c>
      <c r="C17" s="1034"/>
      <c r="D17" s="1102"/>
      <c r="E17" s="1109"/>
    </row>
    <row r="18" spans="1:6">
      <c r="A18" s="1108"/>
      <c r="B18" s="1111" t="s">
        <v>565</v>
      </c>
      <c r="D18" s="1135" t="e">
        <f>ROUND(INDEX(Tabel4B[Doorvoer op 26-1kV],9),2)</f>
        <v>#DIV/0!</v>
      </c>
      <c r="E18" s="1109" t="s">
        <v>406</v>
      </c>
    </row>
    <row r="19" spans="1:6">
      <c r="A19" s="1108"/>
      <c r="B19" s="1109"/>
      <c r="D19" s="1102"/>
      <c r="E19" s="1109"/>
    </row>
    <row r="20" spans="1:6">
      <c r="A20" s="1108">
        <v>4</v>
      </c>
      <c r="B20" s="1115" t="s">
        <v>405</v>
      </c>
      <c r="C20" s="1034"/>
      <c r="D20" s="1132" t="e">
        <f>ROUND(INDEX(Tabel4B[Doorvoer op 26-1kV],15),7)</f>
        <v>#VALUE!</v>
      </c>
      <c r="E20" s="1109" t="s">
        <v>399</v>
      </c>
    </row>
    <row r="21" spans="1:6">
      <c r="A21" s="1108"/>
      <c r="B21" s="1115"/>
      <c r="C21" s="1034"/>
      <c r="D21" s="1102"/>
      <c r="E21" s="1109"/>
      <c r="F21" s="1112"/>
    </row>
    <row r="22" spans="1:6">
      <c r="A22" s="1108">
        <v>5</v>
      </c>
      <c r="B22" s="1115" t="s">
        <v>404</v>
      </c>
      <c r="C22" s="1034"/>
      <c r="D22" s="1132" t="e">
        <f>ROUND(INDEX(Tabel4B[Doorvoer op 26-1kV],17),7)</f>
        <v>#VALUE!</v>
      </c>
      <c r="E22" s="1109" t="s">
        <v>399</v>
      </c>
      <c r="F22" s="1112"/>
    </row>
    <row r="23" spans="1:6">
      <c r="A23" s="1108"/>
      <c r="B23" s="1115"/>
      <c r="C23" s="1034"/>
      <c r="D23" s="1102"/>
      <c r="E23" s="1109"/>
    </row>
    <row r="24" spans="1:6" ht="15.75" thickBot="1">
      <c r="A24" s="1119">
        <v>6</v>
      </c>
      <c r="B24" s="1181" t="s">
        <v>442</v>
      </c>
      <c r="C24" s="1121"/>
      <c r="D24" s="1140" t="e">
        <f>ROUND(INDEX(Tabel4B[Doorvoer op 26-1kV],19),7)+ROUND(INDEX(Tabel4B[Doorvoer op 26-1kV],20),7)</f>
        <v>#DIV/0!</v>
      </c>
      <c r="E24" s="1141" t="s">
        <v>399</v>
      </c>
    </row>
    <row r="25" spans="1:6" ht="15.75" thickBot="1">
      <c r="B25" s="1031"/>
      <c r="C25" s="1034"/>
    </row>
    <row r="26" spans="1:6" ht="15.75" thickBot="1">
      <c r="A26" s="1180" t="s">
        <v>573</v>
      </c>
      <c r="B26" s="1180"/>
      <c r="C26" s="1126"/>
      <c r="D26" s="1170" t="s">
        <v>423</v>
      </c>
      <c r="E26" s="1171" t="s">
        <v>422</v>
      </c>
    </row>
    <row r="27" spans="1:6">
      <c r="A27" s="1180">
        <v>1</v>
      </c>
      <c r="B27" s="1104" t="s">
        <v>420</v>
      </c>
      <c r="C27" s="1105"/>
      <c r="D27" s="1144"/>
      <c r="E27" s="1145"/>
    </row>
    <row r="28" spans="1:6" ht="39" customHeight="1">
      <c r="A28" s="1182" t="s">
        <v>419</v>
      </c>
      <c r="B28" s="1113" t="s">
        <v>450</v>
      </c>
      <c r="D28" s="1132" t="e">
        <f>ROUND(INDEX(Tabel4B[Doorvoer op LS met piekmeting],4),7)</f>
        <v>#DIV/0!</v>
      </c>
      <c r="E28" s="1109" t="s">
        <v>435</v>
      </c>
      <c r="F28" s="1112"/>
    </row>
    <row r="29" spans="1:6" ht="39" customHeight="1">
      <c r="A29" s="1182"/>
      <c r="B29" s="1284" t="s">
        <v>584</v>
      </c>
      <c r="D29" s="1289" t="e">
        <f>ROUND($D$28/12,7)</f>
        <v>#DIV/0!</v>
      </c>
      <c r="E29" s="1290" t="s">
        <v>412</v>
      </c>
      <c r="F29" s="1112"/>
    </row>
    <row r="30" spans="1:6">
      <c r="A30" s="1182" t="s">
        <v>416</v>
      </c>
      <c r="B30" s="1109" t="s">
        <v>433</v>
      </c>
      <c r="D30" s="1132" t="e">
        <f>ROUND(INDEX(Tabel4B[Doorvoer op LS met piekmeting],6),7)</f>
        <v>#DIV/0!</v>
      </c>
      <c r="E30" s="1109" t="s">
        <v>399</v>
      </c>
      <c r="F30" s="1112"/>
    </row>
    <row r="31" spans="1:6">
      <c r="A31" s="1182"/>
      <c r="B31" s="1109"/>
      <c r="D31" s="1102"/>
      <c r="E31" s="1109"/>
    </row>
    <row r="32" spans="1:6">
      <c r="A32" s="1182">
        <v>3</v>
      </c>
      <c r="B32" s="1115" t="s">
        <v>407</v>
      </c>
      <c r="C32" s="1034"/>
      <c r="D32" s="1102"/>
      <c r="E32" s="1109"/>
    </row>
    <row r="33" spans="1:6">
      <c r="A33" s="1182"/>
      <c r="B33" s="1111" t="s">
        <v>565</v>
      </c>
      <c r="D33" s="1135" t="e">
        <f>ROUND(INDEX(Tabel4B[Doorvoer op LS met piekmeting],9),2)</f>
        <v>#DIV/0!</v>
      </c>
      <c r="E33" s="1109" t="s">
        <v>406</v>
      </c>
    </row>
    <row r="34" spans="1:6">
      <c r="A34" s="1182"/>
      <c r="B34" s="1109"/>
      <c r="D34" s="1102"/>
      <c r="E34" s="1109"/>
    </row>
    <row r="35" spans="1:6">
      <c r="A35" s="1182">
        <v>4</v>
      </c>
      <c r="B35" s="1115" t="s">
        <v>405</v>
      </c>
      <c r="C35" s="1034"/>
      <c r="D35" s="1102"/>
      <c r="E35" s="1109"/>
    </row>
    <row r="36" spans="1:6">
      <c r="A36" s="1182"/>
      <c r="B36" s="1109" t="s">
        <v>433</v>
      </c>
      <c r="C36" s="1034"/>
      <c r="D36" s="1132" t="e">
        <f>ROUND(INDEX(Tabel4B[Doorvoer op LS met piekmeting],15),7)</f>
        <v>#VALUE!</v>
      </c>
      <c r="E36" s="1109" t="s">
        <v>399</v>
      </c>
    </row>
    <row r="37" spans="1:6">
      <c r="A37" s="1182"/>
      <c r="B37" s="1115"/>
      <c r="C37" s="1034"/>
      <c r="D37" s="1102"/>
      <c r="E37" s="1109"/>
    </row>
    <row r="38" spans="1:6">
      <c r="A38" s="1182">
        <v>5</v>
      </c>
      <c r="B38" s="1115" t="s">
        <v>404</v>
      </c>
      <c r="C38" s="1034"/>
      <c r="D38" s="1132" t="e">
        <f>ROUND(INDEX(Tabel4B[Doorvoer op LS met piekmeting],17),7)</f>
        <v>#VALUE!</v>
      </c>
      <c r="E38" s="1109" t="s">
        <v>399</v>
      </c>
      <c r="F38" s="1112"/>
    </row>
    <row r="39" spans="1:6">
      <c r="A39" s="1182"/>
      <c r="B39" s="1115"/>
      <c r="C39" s="1034"/>
      <c r="D39" s="1102"/>
      <c r="E39" s="1109"/>
      <c r="F39" s="1112"/>
    </row>
    <row r="40" spans="1:6" ht="15.75" thickBot="1">
      <c r="A40" s="1183">
        <v>6</v>
      </c>
      <c r="B40" s="1181" t="s">
        <v>442</v>
      </c>
      <c r="C40" s="1121"/>
      <c r="D40" s="1140" t="e">
        <f>ROUND(INDEX(Tabel4B[Doorvoer op LS met piekmeting],19),7)+ROUND(INDEX(Tabel4B[Doorvoer op LS met piekmeting],20),7)</f>
        <v>#DIV/0!</v>
      </c>
      <c r="E40" s="1141" t="s">
        <v>399</v>
      </c>
    </row>
    <row r="41" spans="1:6" ht="15.75" thickBot="1"/>
    <row r="42" spans="1:6" ht="15.75" thickBot="1">
      <c r="A42" s="1142" t="s">
        <v>574</v>
      </c>
      <c r="B42" s="1169"/>
      <c r="C42" s="584"/>
      <c r="D42" s="1170" t="s">
        <v>423</v>
      </c>
      <c r="E42" s="1171" t="s">
        <v>422</v>
      </c>
    </row>
    <row r="43" spans="1:6">
      <c r="A43" s="1103">
        <v>1</v>
      </c>
      <c r="B43" s="1172" t="s">
        <v>420</v>
      </c>
      <c r="C43" s="1105"/>
      <c r="D43" s="1144"/>
      <c r="E43" s="1145"/>
    </row>
    <row r="44" spans="1:6" ht="27" customHeight="1">
      <c r="A44" s="1108" t="s">
        <v>419</v>
      </c>
      <c r="B44" s="1113" t="s">
        <v>448</v>
      </c>
      <c r="C44" s="161"/>
      <c r="D44" s="1163" t="e">
        <f>ROUND(INDEX(Tabel4B[Doorvoer op LS zonder piekmeting],5),7)</f>
        <v>#DIV/0!</v>
      </c>
      <c r="E44" s="1109" t="s">
        <v>447</v>
      </c>
    </row>
    <row r="45" spans="1:6">
      <c r="A45" s="1108" t="s">
        <v>416</v>
      </c>
      <c r="B45" s="1113" t="s">
        <v>433</v>
      </c>
      <c r="C45" s="161"/>
      <c r="D45" s="1160" t="e">
        <f>ROUND(INDEX(Tabel4B[Doorvoer op LS zonder piekmeting],6),7)</f>
        <v>#DIV/0!</v>
      </c>
      <c r="E45" s="1109" t="s">
        <v>399</v>
      </c>
    </row>
    <row r="46" spans="1:6">
      <c r="A46" s="1108"/>
      <c r="B46" s="1113"/>
      <c r="C46" s="161"/>
      <c r="D46" s="1158"/>
      <c r="E46" s="1109"/>
    </row>
    <row r="47" spans="1:6">
      <c r="A47" s="1108">
        <v>2</v>
      </c>
      <c r="B47" s="1173" t="s">
        <v>407</v>
      </c>
      <c r="C47" s="1159"/>
      <c r="D47" s="1158"/>
      <c r="E47" s="1109"/>
    </row>
    <row r="48" spans="1:6">
      <c r="A48" s="1108"/>
      <c r="B48" s="1113" t="s">
        <v>567</v>
      </c>
      <c r="C48" s="161"/>
      <c r="D48" s="1163" t="e">
        <f>ROUND(INDEX(Tabel4B[Doorvoer op LS zonder piekmeting],13),2)</f>
        <v>#DIV/0!</v>
      </c>
      <c r="E48" s="1109" t="s">
        <v>406</v>
      </c>
    </row>
    <row r="49" spans="1:5">
      <c r="A49" s="1108"/>
      <c r="B49" s="1113"/>
      <c r="C49" s="161"/>
      <c r="D49" s="1158"/>
      <c r="E49" s="1109"/>
    </row>
    <row r="50" spans="1:5">
      <c r="A50" s="1108">
        <v>3</v>
      </c>
      <c r="B50" s="1173" t="s">
        <v>405</v>
      </c>
      <c r="C50" s="1159"/>
      <c r="D50" s="1158"/>
      <c r="E50" s="1109"/>
    </row>
    <row r="51" spans="1:5">
      <c r="A51" s="1108"/>
      <c r="B51" s="1113" t="s">
        <v>433</v>
      </c>
      <c r="C51" s="1159"/>
      <c r="D51" s="1160" t="e">
        <f>ROUND(INDEX(Tabel4B[Doorvoer op LS zonder piekmeting],15),7)</f>
        <v>#VALUE!</v>
      </c>
      <c r="E51" s="1109" t="s">
        <v>399</v>
      </c>
    </row>
    <row r="52" spans="1:5">
      <c r="A52" s="1108"/>
      <c r="B52" s="1173"/>
      <c r="C52" s="1159"/>
      <c r="D52" s="1158"/>
      <c r="E52" s="1109"/>
    </row>
    <row r="53" spans="1:5">
      <c r="A53" s="1108">
        <v>4</v>
      </c>
      <c r="B53" s="1173" t="s">
        <v>404</v>
      </c>
      <c r="C53" s="1159"/>
      <c r="D53" s="1160" t="e">
        <f>ROUND(INDEX(Tabel4B[Doorvoer op LS zonder piekmeting],17),7)</f>
        <v>#VALUE!</v>
      </c>
      <c r="E53" s="1109" t="s">
        <v>399</v>
      </c>
    </row>
    <row r="54" spans="1:5">
      <c r="A54" s="1108"/>
      <c r="B54" s="1173"/>
      <c r="C54" s="1159"/>
      <c r="D54" s="1158"/>
      <c r="E54" s="1109"/>
    </row>
    <row r="55" spans="1:5">
      <c r="A55" s="1108">
        <v>5</v>
      </c>
      <c r="B55" s="1173" t="s">
        <v>442</v>
      </c>
      <c r="C55" s="1159"/>
      <c r="D55" s="1160" t="e">
        <f>ROUND(SUM(D$45:D$46),7)</f>
        <v>#DIV/0!</v>
      </c>
      <c r="E55" s="1109" t="s">
        <v>399</v>
      </c>
    </row>
    <row r="56" spans="1:5">
      <c r="A56" s="1108"/>
      <c r="B56" s="1113" t="s">
        <v>402</v>
      </c>
      <c r="C56" s="1159"/>
      <c r="D56" s="1158"/>
      <c r="E56" s="1109"/>
    </row>
    <row r="57" spans="1:5">
      <c r="A57" s="1108"/>
      <c r="B57" s="1157" t="s">
        <v>539</v>
      </c>
      <c r="C57" s="1161"/>
      <c r="D57" s="1160" t="e">
        <f>ROUND(INDEX(Tabel4B[Doorvoer op LS zonder piekmeting],19),7)</f>
        <v>#DIV/0!</v>
      </c>
      <c r="E57" s="1137" t="s">
        <v>399</v>
      </c>
    </row>
    <row r="58" spans="1:5" ht="15.75" thickBot="1">
      <c r="A58" s="1119"/>
      <c r="B58" s="1174" t="s">
        <v>401</v>
      </c>
      <c r="C58" s="1164"/>
      <c r="D58" s="1140" t="e">
        <f>ROUND(INDEX(Tabel4B[Doorvoer op LS zonder piekmeting],20),7)</f>
        <v>#DIV/0!</v>
      </c>
      <c r="E58" s="1165" t="s">
        <v>399</v>
      </c>
    </row>
    <row r="60" spans="1:5">
      <c r="A60" s="1306"/>
      <c r="B60" s="1275"/>
      <c r="C60" s="1276"/>
      <c r="D60" s="1275"/>
      <c r="E60" s="1296"/>
    </row>
    <row r="61" spans="1:5">
      <c r="A61" s="1306"/>
      <c r="B61" s="1275"/>
      <c r="C61" s="1276"/>
      <c r="D61" s="1275"/>
      <c r="E61" s="1296"/>
    </row>
    <row r="62" spans="1:5">
      <c r="A62" s="1306"/>
      <c r="B62" s="1275"/>
      <c r="C62" s="1276"/>
      <c r="D62" s="1275"/>
      <c r="E62" s="1296"/>
    </row>
    <row r="63" spans="1:5">
      <c r="A63" s="1306"/>
      <c r="B63" s="1275"/>
      <c r="C63" s="1276"/>
      <c r="D63" s="1275"/>
      <c r="E63" s="1296"/>
    </row>
    <row r="64" spans="1:5">
      <c r="A64" s="1306"/>
      <c r="B64" s="1275"/>
      <c r="C64" s="1276"/>
      <c r="D64" s="1275"/>
      <c r="E64" s="1296"/>
    </row>
    <row r="65" spans="1:5">
      <c r="A65" s="1306"/>
      <c r="B65" s="1275"/>
      <c r="C65" s="1276"/>
      <c r="D65" s="1275"/>
      <c r="E65" s="1296"/>
    </row>
    <row r="66" spans="1:5">
      <c r="A66" s="1306"/>
      <c r="B66" s="1275"/>
      <c r="C66" s="1276"/>
      <c r="D66" s="1275"/>
      <c r="E66" s="1296"/>
    </row>
    <row r="67" spans="1:5">
      <c r="A67" s="1306"/>
      <c r="B67" s="1275"/>
      <c r="C67" s="1276"/>
      <c r="D67" s="1275"/>
      <c r="E67" s="1296"/>
    </row>
    <row r="68" spans="1:5">
      <c r="A68" s="1306"/>
      <c r="B68" s="1275"/>
      <c r="C68" s="1276"/>
      <c r="D68" s="1275"/>
      <c r="E68" s="1296"/>
    </row>
    <row r="69" spans="1:5">
      <c r="A69" s="1306"/>
      <c r="B69" s="1275"/>
      <c r="C69" s="1276"/>
      <c r="D69" s="1275"/>
      <c r="E69" s="1296"/>
    </row>
    <row r="70" spans="1:5">
      <c r="A70" s="1306"/>
      <c r="B70" s="1275"/>
      <c r="C70" s="1276"/>
      <c r="D70" s="1275"/>
      <c r="E70" s="1296"/>
    </row>
    <row r="71" spans="1:5">
      <c r="A71" s="1306"/>
      <c r="B71" s="1275"/>
      <c r="C71" s="1276"/>
      <c r="D71" s="1275"/>
      <c r="E71" s="1296"/>
    </row>
    <row r="72" spans="1:5">
      <c r="A72" s="1306"/>
      <c r="B72" s="1275"/>
      <c r="C72" s="1276"/>
      <c r="D72" s="1275"/>
      <c r="E72" s="1296"/>
    </row>
    <row r="73" spans="1:5">
      <c r="A73" s="1306"/>
      <c r="B73" s="1275"/>
      <c r="C73" s="1276"/>
      <c r="D73" s="1275"/>
      <c r="E73" s="1296"/>
    </row>
    <row r="74" spans="1:5">
      <c r="A74" s="1306"/>
      <c r="B74" s="1275"/>
      <c r="C74" s="1276"/>
      <c r="D74" s="1275"/>
      <c r="E74" s="1296"/>
    </row>
    <row r="75" spans="1:5">
      <c r="A75" s="1306"/>
      <c r="B75" s="1275"/>
      <c r="C75" s="1276"/>
      <c r="D75" s="1275"/>
      <c r="E75" s="1296"/>
    </row>
    <row r="76" spans="1:5">
      <c r="A76" s="1306"/>
      <c r="B76" s="1275"/>
      <c r="C76" s="1276"/>
      <c r="D76" s="1275"/>
      <c r="E76" s="1296"/>
    </row>
    <row r="77" spans="1:5">
      <c r="A77" s="1306"/>
      <c r="B77" s="1275"/>
      <c r="C77" s="1276"/>
      <c r="D77" s="1275"/>
      <c r="E77" s="1296"/>
    </row>
    <row r="78" spans="1:5">
      <c r="A78" s="1306"/>
      <c r="B78" s="1275"/>
      <c r="C78" s="1276"/>
      <c r="D78" s="1275"/>
      <c r="E78" s="1296"/>
    </row>
    <row r="79" spans="1:5">
      <c r="A79" s="1306"/>
      <c r="B79" s="1275"/>
      <c r="C79" s="1276"/>
      <c r="D79" s="1275"/>
      <c r="E79" s="1296"/>
    </row>
  </sheetData>
  <sheetProtection algorithmName="SHA-512" hashValue="V5rGzQHzeZmsdym1uDRKst1vnxKTmWkOzV2e4m9oy7cQlAnVJWINvQBM6cb8DFlS240VfEEjyRuMjiZc5zBk2Q==" saltValue="L+2O9rhLj9MuKKictbBnTw==" spinCount="100000" sheet="1" objects="1" scenarios="1"/>
  <mergeCells count="1">
    <mergeCell ref="A1:E1"/>
  </mergeCells>
  <pageMargins left="0.70866141732283472" right="0.70866141732283472" top="0.74803149606299213" bottom="0.74803149606299213" header="0.31496062992125984" footer="0.31496062992125984"/>
  <pageSetup paperSize="9" scale="65"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F8DDB2-36C9-4D1E-8273-9440A13DC45C}">
  <sheetPr published="0">
    <pageSetUpPr fitToPage="1"/>
  </sheetPr>
  <dimension ref="A1:P78"/>
  <sheetViews>
    <sheetView showGridLines="0" zoomScaleNormal="100" workbookViewId="0">
      <selection activeCell="A2" sqref="A2"/>
    </sheetView>
  </sheetViews>
  <sheetFormatPr defaultColWidth="9.140625" defaultRowHeight="15"/>
  <cols>
    <col min="1" max="1" width="96.42578125" style="6" customWidth="1"/>
    <col min="2" max="2" width="2.5703125" style="1" customWidth="1"/>
    <col min="3" max="3" width="15.5703125" style="1035" customWidth="1"/>
    <col min="4" max="4" width="15.5703125" style="1071" customWidth="1"/>
    <col min="5" max="16384" width="9.140625" style="1"/>
  </cols>
  <sheetData>
    <row r="1" spans="1:16" ht="15.4" customHeight="1" thickBot="1">
      <c r="A1" s="1648" t="str">
        <f>DNB&amp;" - ELEKTRICITEIT - Tarieflijst periodieke distributienettarieven "&amp;JAAR&amp;" - Injectie"</f>
        <v>Naam distributienetbeheerder - ELEKTRICITEIT - Tarieflijst periodieke distributienettarieven 2022 - Injectie</v>
      </c>
      <c r="B1" s="1644"/>
      <c r="C1" s="1644"/>
      <c r="D1" s="1645"/>
      <c r="E1" s="1096"/>
      <c r="F1" s="1096"/>
      <c r="G1" s="1096"/>
      <c r="H1" s="1096"/>
      <c r="I1" s="1096"/>
      <c r="J1" s="1096"/>
      <c r="K1" s="1096"/>
      <c r="L1" s="1096"/>
      <c r="M1" s="1096"/>
      <c r="N1" s="1096"/>
      <c r="O1" s="1096"/>
      <c r="P1" s="1096"/>
    </row>
    <row r="2" spans="1:16" ht="15.75" thickBot="1">
      <c r="C2" s="1184"/>
    </row>
    <row r="3" spans="1:16" ht="15.75" thickBot="1">
      <c r="A3" s="1185" t="s">
        <v>579</v>
      </c>
      <c r="B3" s="1186"/>
      <c r="C3" s="1099" t="s">
        <v>423</v>
      </c>
      <c r="D3" s="1128" t="s">
        <v>422</v>
      </c>
    </row>
    <row r="4" spans="1:16">
      <c r="A4" s="1187"/>
      <c r="B4" s="1101"/>
      <c r="C4" s="1102"/>
    </row>
    <row r="5" spans="1:16" ht="15.75" thickBot="1">
      <c r="A5" s="1143"/>
      <c r="B5" s="1034"/>
      <c r="C5" s="1102"/>
    </row>
    <row r="6" spans="1:16">
      <c r="A6" s="1188" t="s">
        <v>434</v>
      </c>
      <c r="B6" s="1105"/>
      <c r="C6" s="1162" t="e">
        <f>ROUND(INDEX(Tabel4B[Injectieklanten (∑)],7),7)</f>
        <v>#VALUE!</v>
      </c>
      <c r="D6" s="1189" t="s">
        <v>399</v>
      </c>
    </row>
    <row r="7" spans="1:16">
      <c r="A7" s="1190" t="s">
        <v>459</v>
      </c>
      <c r="B7" s="1101"/>
      <c r="C7" s="1191">
        <f>'Max Injectie'!$F$9</f>
        <v>0</v>
      </c>
      <c r="D7" s="1075" t="s">
        <v>399</v>
      </c>
    </row>
    <row r="8" spans="1:16">
      <c r="A8" s="1190"/>
      <c r="B8" s="1101"/>
      <c r="C8" s="1192"/>
      <c r="D8" s="1075"/>
    </row>
    <row r="9" spans="1:16">
      <c r="A9" s="1152" t="s">
        <v>365</v>
      </c>
      <c r="C9" s="1"/>
      <c r="D9" s="1117"/>
    </row>
    <row r="10" spans="1:16" ht="15.75" thickBot="1">
      <c r="A10" s="1193" t="s">
        <v>458</v>
      </c>
      <c r="B10" s="1121"/>
      <c r="C10" s="1194" t="e">
        <f>ROUND(INDEX(Tabel4B[Injectieklanten (∑)],14),2)</f>
        <v>#DIV/0!</v>
      </c>
      <c r="D10" s="1195" t="s">
        <v>447</v>
      </c>
    </row>
    <row r="12" spans="1:16">
      <c r="A12" s="1297"/>
      <c r="B12" s="1276"/>
      <c r="C12" s="1275"/>
      <c r="D12" s="1296"/>
    </row>
    <row r="13" spans="1:16">
      <c r="A13" s="1294"/>
      <c r="B13" s="1295"/>
      <c r="C13" s="1275"/>
      <c r="D13" s="1296"/>
    </row>
    <row r="14" spans="1:16">
      <c r="A14" s="1307"/>
      <c r="B14" s="1308"/>
      <c r="C14" s="1275"/>
      <c r="D14" s="1296"/>
    </row>
    <row r="15" spans="1:16">
      <c r="A15" s="1297"/>
      <c r="B15" s="1276"/>
      <c r="C15" s="1275"/>
      <c r="D15" s="1296"/>
    </row>
    <row r="16" spans="1:16">
      <c r="A16" s="1297"/>
      <c r="B16" s="1276"/>
      <c r="C16" s="1275"/>
      <c r="D16" s="1296"/>
    </row>
    <row r="17" spans="1:4">
      <c r="A17" s="1297"/>
      <c r="B17" s="1276"/>
      <c r="C17" s="1275"/>
      <c r="D17" s="1296"/>
    </row>
    <row r="18" spans="1:4">
      <c r="A18" s="1294"/>
      <c r="B18" s="1295"/>
      <c r="C18" s="1275"/>
      <c r="D18" s="1296"/>
    </row>
    <row r="19" spans="1:4">
      <c r="A19" s="1297"/>
      <c r="B19" s="1276"/>
      <c r="C19" s="1275"/>
      <c r="D19" s="1296"/>
    </row>
    <row r="20" spans="1:4">
      <c r="A20" s="1294"/>
      <c r="B20" s="1295"/>
      <c r="C20" s="1275"/>
      <c r="D20" s="1296"/>
    </row>
    <row r="21" spans="1:4">
      <c r="A21" s="1297"/>
      <c r="B21" s="1276"/>
      <c r="C21" s="1275"/>
      <c r="D21" s="1296"/>
    </row>
    <row r="22" spans="1:4">
      <c r="A22" s="1297"/>
      <c r="B22" s="1276"/>
      <c r="C22" s="1275"/>
      <c r="D22" s="1296"/>
    </row>
    <row r="23" spans="1:4">
      <c r="A23" s="1297"/>
      <c r="B23" s="1276"/>
      <c r="C23" s="1275"/>
      <c r="D23" s="1296"/>
    </row>
    <row r="24" spans="1:4">
      <c r="A24" s="1294"/>
      <c r="B24" s="1295"/>
      <c r="C24" s="1275"/>
      <c r="D24" s="1296"/>
    </row>
    <row r="25" spans="1:4">
      <c r="A25" s="1294"/>
      <c r="B25" s="1295"/>
      <c r="C25" s="1275"/>
      <c r="D25" s="1296"/>
    </row>
    <row r="26" spans="1:4">
      <c r="A26" s="1294"/>
      <c r="B26" s="1295"/>
      <c r="C26" s="1275"/>
      <c r="D26" s="1296"/>
    </row>
    <row r="27" spans="1:4">
      <c r="A27" s="1294"/>
      <c r="B27" s="1295"/>
      <c r="C27" s="1275"/>
      <c r="D27" s="1296"/>
    </row>
    <row r="28" spans="1:4">
      <c r="A28" s="1297"/>
      <c r="B28" s="1276"/>
      <c r="C28" s="1275"/>
      <c r="D28" s="1296"/>
    </row>
    <row r="29" spans="1:4">
      <c r="A29" s="1297"/>
      <c r="B29" s="1276"/>
      <c r="C29" s="1275"/>
      <c r="D29" s="1296"/>
    </row>
    <row r="30" spans="1:4">
      <c r="A30" s="1297"/>
      <c r="B30" s="1276"/>
      <c r="C30" s="1275"/>
      <c r="D30" s="1296"/>
    </row>
    <row r="31" spans="1:4">
      <c r="A31" s="1297"/>
      <c r="B31" s="1276"/>
      <c r="C31" s="1275"/>
      <c r="D31" s="1296"/>
    </row>
    <row r="38" spans="1:2">
      <c r="A38" s="1048"/>
      <c r="B38" s="1034"/>
    </row>
    <row r="41" spans="1:2">
      <c r="A41" s="1048"/>
      <c r="B41" s="1034"/>
    </row>
    <row r="45" spans="1:2">
      <c r="A45" s="1048"/>
      <c r="B45" s="1034"/>
    </row>
    <row r="49" spans="1:4" s="1034" customFormat="1">
      <c r="A49" s="1048"/>
      <c r="C49" s="1031"/>
      <c r="D49" s="1097"/>
    </row>
    <row r="52" spans="1:4">
      <c r="A52" s="1048"/>
      <c r="B52" s="1034"/>
    </row>
    <row r="55" spans="1:4">
      <c r="A55" s="1048"/>
      <c r="B55" s="1034"/>
    </row>
    <row r="57" spans="1:4">
      <c r="A57" s="1048"/>
      <c r="B57" s="1034"/>
    </row>
    <row r="62" spans="1:4">
      <c r="A62" s="1048"/>
      <c r="B62" s="1034"/>
    </row>
    <row r="64" spans="1:4">
      <c r="A64" s="1048"/>
      <c r="B64" s="1034"/>
    </row>
    <row r="67" spans="1:2">
      <c r="A67" s="1048"/>
      <c r="B67" s="1034"/>
    </row>
    <row r="70" spans="1:2">
      <c r="A70" s="1048"/>
      <c r="B70" s="1034"/>
    </row>
    <row r="73" spans="1:2">
      <c r="A73" s="1048"/>
      <c r="B73" s="1034"/>
    </row>
    <row r="75" spans="1:2">
      <c r="A75" s="1048"/>
      <c r="B75" s="1034"/>
    </row>
    <row r="78" spans="1:2">
      <c r="A78" s="1048"/>
      <c r="B78" s="1034"/>
    </row>
  </sheetData>
  <sheetProtection algorithmName="SHA-512" hashValue="pvBWQLROjJh92KyTXv+9JJ30L2fvOJZNGV/BsyqrBHj233aLLyIiTq1Z9yoj+oqduo5G5GfhldodNrFR0gyXFA==" saltValue="+oUuXdDgBas0pT0F8k22oA==" spinCount="100000" sheet="1" objects="1" scenarios="1"/>
  <mergeCells count="1">
    <mergeCell ref="A1:D1"/>
  </mergeCells>
  <pageMargins left="0.70866141732283472" right="0.70866141732283472" top="0.74803149606299213" bottom="0.74803149606299213" header="0.31496062992125984" footer="0.31496062992125984"/>
  <pageSetup paperSize="9" scale="6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ublished="0" codeName="Blad14"/>
  <dimension ref="A1:N132"/>
  <sheetViews>
    <sheetView zoomScale="80" zoomScaleNormal="80" workbookViewId="0">
      <selection activeCell="E4" sqref="E4:G4"/>
    </sheetView>
  </sheetViews>
  <sheetFormatPr defaultColWidth="10.7109375" defaultRowHeight="15"/>
  <cols>
    <col min="1" max="1" width="5.7109375" style="3" customWidth="1"/>
    <col min="2" max="2" width="30.7109375" style="3" customWidth="1"/>
    <col min="3" max="3" width="40.7109375" style="3" customWidth="1"/>
    <col min="4" max="4" width="10.7109375" style="3" customWidth="1"/>
    <col min="5" max="5" width="20.7109375" style="3" customWidth="1"/>
    <col min="6" max="6" width="5.7109375" style="3" customWidth="1"/>
    <col min="7" max="8" width="40.7109375" style="3" customWidth="1"/>
    <col min="9" max="10" width="5.7109375" style="3" customWidth="1"/>
    <col min="11" max="16384" width="10.7109375" style="3"/>
  </cols>
  <sheetData>
    <row r="1" spans="1:14" ht="30" customHeight="1" thickBot="1">
      <c r="A1" s="1414" t="s">
        <v>185</v>
      </c>
      <c r="B1" s="1415"/>
      <c r="C1" s="1416"/>
      <c r="D1" s="1416"/>
      <c r="E1" s="1415"/>
      <c r="F1" s="1415"/>
      <c r="G1" s="1415"/>
      <c r="H1" s="1415"/>
      <c r="I1" s="1417"/>
    </row>
    <row r="3" spans="1:14" ht="15.75" thickBot="1"/>
    <row r="4" spans="1:14" ht="15.75" thickBot="1">
      <c r="C4" s="129" t="s">
        <v>6</v>
      </c>
      <c r="D4" s="129"/>
      <c r="E4" s="1418" t="str">
        <f>DNB</f>
        <v>Naam distributienetbeheerder</v>
      </c>
      <c r="F4" s="1419"/>
      <c r="G4" s="1420"/>
      <c r="H4" s="134"/>
    </row>
    <row r="7" spans="1:14">
      <c r="A7" s="616"/>
      <c r="B7" s="1412" t="s">
        <v>175</v>
      </c>
      <c r="C7" s="1412"/>
      <c r="D7" s="1412"/>
      <c r="E7" s="1412"/>
      <c r="F7" s="1412"/>
      <c r="G7" s="1412"/>
      <c r="H7" s="617"/>
      <c r="I7" s="618"/>
    </row>
    <row r="9" spans="1:14">
      <c r="B9" s="619" t="s">
        <v>303</v>
      </c>
    </row>
    <row r="10" spans="1:14" ht="15.75" thickBot="1"/>
    <row r="11" spans="1:14" ht="18.75" thickBot="1">
      <c r="B11" s="620" t="s">
        <v>282</v>
      </c>
      <c r="C11" s="620"/>
      <c r="D11" s="620"/>
      <c r="E11" s="621">
        <v>0.5</v>
      </c>
      <c r="G11" s="3" t="s">
        <v>268</v>
      </c>
    </row>
    <row r="12" spans="1:14" ht="18.75" thickBot="1">
      <c r="B12" s="620" t="s">
        <v>283</v>
      </c>
      <c r="C12" s="620"/>
      <c r="D12" s="620"/>
      <c r="E12" s="621">
        <f>1-$E$11</f>
        <v>0.5</v>
      </c>
      <c r="G12" s="3" t="s">
        <v>178</v>
      </c>
    </row>
    <row r="13" spans="1:14" ht="18.75" thickBot="1">
      <c r="B13" s="620" t="s">
        <v>284</v>
      </c>
      <c r="C13" s="620"/>
      <c r="D13" s="620"/>
      <c r="E13" s="622">
        <f>PROCENT_MP/PROCENT_TV</f>
        <v>1</v>
      </c>
      <c r="K13" s="1411" t="s">
        <v>306</v>
      </c>
      <c r="L13" s="1411"/>
      <c r="M13" s="1411"/>
      <c r="N13" s="1411"/>
    </row>
    <row r="14" spans="1:14" ht="15.75" thickBot="1">
      <c r="B14" s="620"/>
      <c r="C14" s="620"/>
      <c r="D14" s="620"/>
      <c r="E14" s="56"/>
      <c r="K14" s="1411"/>
      <c r="L14" s="1411"/>
      <c r="M14" s="1411"/>
      <c r="N14" s="1411"/>
    </row>
    <row r="15" spans="1:14" ht="18.75" thickBot="1">
      <c r="B15" s="620" t="s">
        <v>285</v>
      </c>
      <c r="C15" s="620"/>
      <c r="D15" s="620"/>
      <c r="E15" s="623">
        <v>1.5</v>
      </c>
      <c r="G15" s="3" t="s">
        <v>268</v>
      </c>
    </row>
    <row r="16" spans="1:14">
      <c r="B16" s="620"/>
      <c r="C16" s="620"/>
      <c r="D16" s="620"/>
      <c r="E16" s="56"/>
      <c r="G16" s="3" t="s">
        <v>570</v>
      </c>
    </row>
    <row r="17" spans="2:7" ht="15.75" thickBot="1">
      <c r="E17" s="56"/>
    </row>
    <row r="18" spans="2:7" ht="18.75" thickBot="1">
      <c r="B18" s="620" t="s">
        <v>286</v>
      </c>
      <c r="C18" s="620"/>
      <c r="D18" s="620"/>
      <c r="E18" s="621">
        <v>0.8</v>
      </c>
      <c r="G18" s="3" t="s">
        <v>180</v>
      </c>
    </row>
    <row r="19" spans="2:7" ht="18.75" thickBot="1">
      <c r="B19" s="620" t="s">
        <v>287</v>
      </c>
      <c r="C19" s="620"/>
      <c r="D19" s="620"/>
      <c r="E19" s="621">
        <f>1-$E$18</f>
        <v>0.19999999999999996</v>
      </c>
      <c r="G19" s="3" t="s">
        <v>179</v>
      </c>
    </row>
    <row r="20" spans="2:7" ht="15.75" thickBot="1">
      <c r="E20" s="56"/>
    </row>
    <row r="21" spans="2:7" ht="18.75" thickBot="1">
      <c r="B21" s="620" t="s">
        <v>288</v>
      </c>
      <c r="C21" s="620"/>
      <c r="D21" s="620"/>
      <c r="E21" s="623">
        <v>2.5</v>
      </c>
      <c r="G21" s="3" t="s">
        <v>182</v>
      </c>
    </row>
    <row r="22" spans="2:7">
      <c r="E22" s="56"/>
      <c r="G22" s="3" t="s">
        <v>181</v>
      </c>
    </row>
    <row r="23" spans="2:7">
      <c r="E23" s="56"/>
    </row>
    <row r="24" spans="2:7">
      <c r="B24" s="624" t="s">
        <v>330</v>
      </c>
      <c r="C24" s="620"/>
      <c r="D24" s="620"/>
      <c r="E24" s="625"/>
    </row>
    <row r="25" spans="2:7" ht="15.75" thickBot="1">
      <c r="B25" s="626"/>
      <c r="C25" s="620"/>
      <c r="D25" s="620"/>
      <c r="E25" s="625"/>
    </row>
    <row r="26" spans="2:7" ht="15.75" thickBot="1">
      <c r="B26" s="620" t="s">
        <v>543</v>
      </c>
      <c r="C26" s="620"/>
      <c r="D26" s="620"/>
      <c r="E26" s="632">
        <v>0</v>
      </c>
    </row>
    <row r="27" spans="2:7" ht="15.75" thickBot="1">
      <c r="B27" s="620" t="s">
        <v>544</v>
      </c>
      <c r="C27" s="620"/>
      <c r="D27" s="620"/>
      <c r="E27" s="632">
        <v>0</v>
      </c>
      <c r="G27" s="627"/>
    </row>
    <row r="28" spans="2:7" ht="15.75" thickBot="1">
      <c r="B28" s="620" t="s">
        <v>545</v>
      </c>
      <c r="C28" s="620"/>
      <c r="D28" s="620"/>
      <c r="E28" s="632">
        <v>0</v>
      </c>
    </row>
    <row r="29" spans="2:7" ht="15.75" thickBot="1">
      <c r="B29" s="620" t="s">
        <v>546</v>
      </c>
      <c r="C29" s="620"/>
      <c r="D29" s="620"/>
      <c r="E29" s="632">
        <v>0</v>
      </c>
    </row>
    <row r="30" spans="2:7" ht="15.75" thickBot="1">
      <c r="B30" s="626"/>
      <c r="C30" s="620"/>
      <c r="D30" s="620"/>
      <c r="E30" s="628"/>
    </row>
    <row r="31" spans="2:7" ht="15.75" thickBot="1">
      <c r="B31" s="626" t="str">
        <f>"Consumptieprijsindex voor juli "&amp;JAAR-1</f>
        <v>Consumptieprijsindex voor juli 2021</v>
      </c>
      <c r="C31" s="620"/>
      <c r="D31" s="620"/>
      <c r="E31" s="633">
        <v>0</v>
      </c>
      <c r="G31" s="3" t="s">
        <v>571</v>
      </c>
    </row>
    <row r="32" spans="2:7" ht="15.75" thickBot="1">
      <c r="B32" s="626" t="s">
        <v>289</v>
      </c>
      <c r="C32" s="620"/>
      <c r="D32" s="620"/>
      <c r="E32" s="633">
        <v>0</v>
      </c>
    </row>
    <row r="33" spans="2:7">
      <c r="B33" s="626"/>
      <c r="C33" s="620"/>
      <c r="D33" s="620"/>
      <c r="E33" s="625"/>
    </row>
    <row r="34" spans="2:7">
      <c r="B34" s="624" t="s">
        <v>331</v>
      </c>
      <c r="C34" s="620"/>
      <c r="D34" s="620"/>
      <c r="E34" s="625"/>
    </row>
    <row r="35" spans="2:7" ht="15.75" thickBot="1">
      <c r="B35" s="620"/>
      <c r="C35" s="620"/>
      <c r="D35" s="620"/>
      <c r="E35" s="625"/>
    </row>
    <row r="36" spans="2:7" ht="15.75" thickBot="1">
      <c r="B36" s="620" t="s">
        <v>294</v>
      </c>
      <c r="C36" s="620"/>
      <c r="D36" s="620"/>
      <c r="E36" s="621">
        <v>0.3</v>
      </c>
      <c r="G36" s="3" t="s">
        <v>176</v>
      </c>
    </row>
    <row r="37" spans="2:7" ht="15.75" thickBot="1">
      <c r="B37" s="620" t="s">
        <v>296</v>
      </c>
      <c r="C37" s="620"/>
      <c r="D37" s="620"/>
      <c r="E37" s="1225">
        <v>0</v>
      </c>
      <c r="G37" s="3" t="s">
        <v>177</v>
      </c>
    </row>
    <row r="38" spans="2:7" ht="15.75" thickBot="1">
      <c r="B38" s="620" t="s">
        <v>295</v>
      </c>
      <c r="C38" s="620"/>
      <c r="D38" s="620"/>
      <c r="E38" s="1225">
        <v>0</v>
      </c>
    </row>
    <row r="39" spans="2:7" ht="15.75" thickBot="1">
      <c r="E39" s="56"/>
    </row>
    <row r="40" spans="2:7" ht="15.75" thickBot="1">
      <c r="B40" s="620" t="s">
        <v>186</v>
      </c>
      <c r="C40" s="620"/>
      <c r="D40" s="620"/>
      <c r="E40" s="1265">
        <f>IF(JAAR=2022,60%,IF(JAAR=2023,50%,IF(JAAR=2024,40%,"FOUT")))</f>
        <v>0.6</v>
      </c>
      <c r="G40" s="3" t="s">
        <v>183</v>
      </c>
    </row>
    <row r="41" spans="2:7">
      <c r="E41" s="56"/>
      <c r="G41" s="1266" t="s">
        <v>581</v>
      </c>
    </row>
    <row r="42" spans="2:7">
      <c r="B42" s="629" t="s">
        <v>332</v>
      </c>
      <c r="C42" s="620"/>
      <c r="D42" s="620"/>
      <c r="E42" s="625"/>
    </row>
    <row r="43" spans="2:7" ht="15.75" thickBot="1">
      <c r="B43" s="630"/>
      <c r="C43" s="620"/>
      <c r="D43" s="620"/>
      <c r="E43" s="625"/>
    </row>
    <row r="44" spans="2:7" ht="15.75" thickBot="1">
      <c r="B44" s="630" t="s">
        <v>297</v>
      </c>
      <c r="C44" s="620"/>
      <c r="D44" s="620"/>
      <c r="E44" s="634">
        <v>0</v>
      </c>
      <c r="G44" s="627"/>
    </row>
    <row r="45" spans="2:7" ht="15.75" thickBot="1">
      <c r="B45" s="630" t="s">
        <v>298</v>
      </c>
      <c r="C45" s="620"/>
      <c r="D45" s="620"/>
      <c r="E45" s="634">
        <v>0</v>
      </c>
    </row>
    <row r="46" spans="2:7" ht="15.75" thickBot="1">
      <c r="B46" s="630" t="s">
        <v>299</v>
      </c>
      <c r="C46" s="620"/>
      <c r="D46" s="620"/>
      <c r="E46" s="634">
        <v>0</v>
      </c>
    </row>
    <row r="47" spans="2:7" ht="15.75" thickBot="1">
      <c r="B47" s="630" t="s">
        <v>300</v>
      </c>
      <c r="C47" s="620"/>
      <c r="D47" s="620"/>
      <c r="E47" s="634">
        <v>0</v>
      </c>
    </row>
    <row r="48" spans="2:7" ht="15.75" thickBot="1">
      <c r="B48" s="630" t="s">
        <v>301</v>
      </c>
      <c r="C48" s="620"/>
      <c r="D48" s="620"/>
      <c r="E48" s="634">
        <v>0</v>
      </c>
    </row>
    <row r="49" spans="1:9" ht="15.75" thickBot="1">
      <c r="B49" s="626" t="s">
        <v>254</v>
      </c>
      <c r="C49" s="620"/>
      <c r="D49" s="620"/>
      <c r="E49" s="634">
        <v>0</v>
      </c>
    </row>
    <row r="50" spans="1:9">
      <c r="B50" s="626"/>
      <c r="C50" s="620"/>
      <c r="D50" s="620"/>
      <c r="E50" s="625"/>
    </row>
    <row r="51" spans="1:9">
      <c r="B51" s="629" t="s">
        <v>333</v>
      </c>
      <c r="C51" s="620"/>
      <c r="D51" s="620"/>
      <c r="E51" s="625"/>
    </row>
    <row r="52" spans="1:9" ht="15.75" thickBot="1"/>
    <row r="53" spans="1:9" ht="15.75" thickBot="1">
      <c r="B53" s="3" t="s">
        <v>550</v>
      </c>
      <c r="E53" s="1224">
        <v>0</v>
      </c>
      <c r="G53" s="3" t="s">
        <v>580</v>
      </c>
    </row>
    <row r="54" spans="1:9" ht="15.75" thickBot="1">
      <c r="B54" s="3" t="s">
        <v>290</v>
      </c>
      <c r="E54" s="621">
        <v>0.9</v>
      </c>
      <c r="G54" s="3" t="s">
        <v>223</v>
      </c>
    </row>
    <row r="55" spans="1:9" ht="15.75" thickBot="1">
      <c r="B55" s="3" t="s">
        <v>291</v>
      </c>
      <c r="E55" s="631">
        <v>950</v>
      </c>
    </row>
    <row r="56" spans="1:9" ht="15.75" thickBot="1">
      <c r="B56" s="3" t="s">
        <v>292</v>
      </c>
      <c r="E56" s="621">
        <v>0.36</v>
      </c>
    </row>
    <row r="58" spans="1:9">
      <c r="B58" s="619" t="s">
        <v>334</v>
      </c>
    </row>
    <row r="59" spans="1:9" ht="15.75" thickBot="1"/>
    <row r="60" spans="1:9" ht="15.75" thickBot="1">
      <c r="B60" s="620" t="s">
        <v>293</v>
      </c>
      <c r="C60" s="620"/>
      <c r="D60" s="620"/>
      <c r="E60" s="621">
        <v>0.75</v>
      </c>
      <c r="G60" s="3" t="s">
        <v>184</v>
      </c>
    </row>
    <row r="61" spans="1:9">
      <c r="B61" s="620"/>
      <c r="C61" s="620"/>
      <c r="D61" s="620"/>
      <c r="E61" s="625"/>
    </row>
    <row r="62" spans="1:9">
      <c r="B62" s="620"/>
      <c r="C62" s="620"/>
      <c r="D62" s="620"/>
      <c r="E62" s="625"/>
    </row>
    <row r="63" spans="1:9">
      <c r="B63" s="620"/>
      <c r="C63" s="620"/>
      <c r="D63" s="620"/>
      <c r="E63" s="625"/>
    </row>
    <row r="64" spans="1:9">
      <c r="A64" s="616"/>
      <c r="B64" s="1412" t="s">
        <v>192</v>
      </c>
      <c r="C64" s="1412"/>
      <c r="D64" s="1412"/>
      <c r="E64" s="1412"/>
      <c r="F64" s="1412"/>
      <c r="G64" s="1412"/>
      <c r="H64" s="617"/>
      <c r="I64" s="618"/>
    </row>
    <row r="66" spans="2:8">
      <c r="B66" s="619" t="s">
        <v>304</v>
      </c>
    </row>
    <row r="68" spans="2:8">
      <c r="B68" s="1421" t="s">
        <v>569</v>
      </c>
      <c r="C68" s="1421"/>
      <c r="D68" s="1421"/>
      <c r="E68" s="1421"/>
      <c r="F68" s="1421"/>
      <c r="G68" s="1421"/>
      <c r="H68" s="1421"/>
    </row>
    <row r="70" spans="2:8">
      <c r="B70" s="3" t="s">
        <v>102</v>
      </c>
      <c r="E70" s="1421" t="s">
        <v>275</v>
      </c>
      <c r="F70" s="1421"/>
      <c r="G70" s="1421"/>
      <c r="H70" s="1421"/>
    </row>
    <row r="71" spans="2:8">
      <c r="B71" s="3" t="s">
        <v>132</v>
      </c>
      <c r="E71" s="1421"/>
      <c r="F71" s="1421"/>
      <c r="G71" s="1421"/>
      <c r="H71" s="1421"/>
    </row>
    <row r="73" spans="2:8">
      <c r="B73" s="3" t="s">
        <v>133</v>
      </c>
      <c r="E73" s="1421" t="s">
        <v>276</v>
      </c>
      <c r="F73" s="1421"/>
      <c r="G73" s="1421"/>
      <c r="H73" s="1421"/>
    </row>
    <row r="74" spans="2:8">
      <c r="B74" s="3" t="s">
        <v>269</v>
      </c>
      <c r="E74" s="1421"/>
      <c r="F74" s="1421"/>
      <c r="G74" s="1421"/>
      <c r="H74" s="1421"/>
    </row>
    <row r="75" spans="2:8">
      <c r="B75" s="3" t="s">
        <v>270</v>
      </c>
      <c r="E75" s="1421"/>
      <c r="F75" s="1421"/>
      <c r="G75" s="1421"/>
      <c r="H75" s="1421"/>
    </row>
    <row r="77" spans="2:8">
      <c r="B77" s="3" t="s">
        <v>103</v>
      </c>
    </row>
    <row r="79" spans="2:8">
      <c r="B79" s="3" t="s">
        <v>119</v>
      </c>
      <c r="E79" s="1421" t="s">
        <v>307</v>
      </c>
      <c r="F79" s="1421"/>
      <c r="G79" s="1421"/>
      <c r="H79" s="1421"/>
    </row>
    <row r="80" spans="2:8">
      <c r="B80" s="3" t="s">
        <v>547</v>
      </c>
      <c r="E80" s="1421"/>
      <c r="F80" s="1421"/>
      <c r="G80" s="1421"/>
      <c r="H80" s="1421"/>
    </row>
    <row r="81" spans="2:9">
      <c r="B81" s="3" t="s">
        <v>120</v>
      </c>
      <c r="E81" s="1421" t="s">
        <v>549</v>
      </c>
      <c r="F81" s="1421"/>
      <c r="G81" s="1421"/>
      <c r="H81" s="1421"/>
      <c r="I81" s="1421"/>
    </row>
    <row r="82" spans="2:9">
      <c r="B82" s="3" t="s">
        <v>548</v>
      </c>
      <c r="E82" s="1421"/>
      <c r="F82" s="1421"/>
      <c r="G82" s="1421"/>
      <c r="H82" s="1421"/>
      <c r="I82" s="1421"/>
    </row>
    <row r="83" spans="2:9">
      <c r="B83" s="3" t="s">
        <v>121</v>
      </c>
      <c r="E83" s="1421"/>
      <c r="F83" s="1421"/>
      <c r="G83" s="1421"/>
      <c r="H83" s="1421"/>
      <c r="I83" s="1421"/>
    </row>
    <row r="85" spans="2:9">
      <c r="B85" s="3" t="s">
        <v>209</v>
      </c>
      <c r="E85" s="1421" t="s">
        <v>278</v>
      </c>
      <c r="F85" s="1421"/>
      <c r="G85" s="1421"/>
      <c r="H85" s="1421"/>
    </row>
    <row r="86" spans="2:9">
      <c r="B86" s="3" t="s">
        <v>267</v>
      </c>
      <c r="E86" s="1421"/>
      <c r="F86" s="1421"/>
      <c r="G86" s="1421"/>
      <c r="H86" s="1421"/>
    </row>
    <row r="87" spans="2:9">
      <c r="B87" s="3" t="s">
        <v>271</v>
      </c>
      <c r="E87" s="1421"/>
      <c r="F87" s="1421"/>
      <c r="G87" s="1421"/>
      <c r="H87" s="1421"/>
    </row>
    <row r="88" spans="2:9">
      <c r="B88" s="3" t="s">
        <v>104</v>
      </c>
      <c r="E88" s="1421"/>
      <c r="F88" s="1421"/>
      <c r="G88" s="1421"/>
      <c r="H88" s="1421"/>
    </row>
    <row r="89" spans="2:9">
      <c r="B89" s="3" t="s">
        <v>105</v>
      </c>
      <c r="E89" s="1421"/>
      <c r="F89" s="1421"/>
      <c r="G89" s="1421"/>
      <c r="H89" s="1421"/>
    </row>
    <row r="93" spans="2:9" ht="18">
      <c r="B93" s="619" t="s">
        <v>305</v>
      </c>
    </row>
    <row r="95" spans="2:9">
      <c r="B95" s="3" t="s">
        <v>189</v>
      </c>
    </row>
    <row r="103" spans="2:8">
      <c r="B103" s="3" t="s">
        <v>190</v>
      </c>
    </row>
    <row r="107" spans="2:8">
      <c r="B107" s="3" t="s">
        <v>191</v>
      </c>
    </row>
    <row r="111" spans="2:8" ht="30" customHeight="1">
      <c r="B111" s="1413" t="s">
        <v>302</v>
      </c>
      <c r="C111" s="1413"/>
      <c r="D111" s="1413"/>
      <c r="E111" s="1413"/>
      <c r="F111" s="1413"/>
      <c r="G111" s="1413"/>
      <c r="H111" s="1413"/>
    </row>
    <row r="113" spans="2:8">
      <c r="H113" s="627"/>
    </row>
    <row r="122" spans="2:8" ht="30" customHeight="1">
      <c r="B122" s="1413" t="s">
        <v>226</v>
      </c>
      <c r="C122" s="1413"/>
      <c r="D122" s="1413"/>
      <c r="E122" s="1413"/>
      <c r="F122" s="1413"/>
      <c r="G122" s="1413"/>
      <c r="H122" s="1413"/>
    </row>
    <row r="124" spans="2:8">
      <c r="B124" s="3" t="s">
        <v>187</v>
      </c>
    </row>
    <row r="126" spans="2:8" ht="15" customHeight="1">
      <c r="C126" s="1422" t="s">
        <v>188</v>
      </c>
      <c r="D126" s="1422"/>
      <c r="E126" s="1422"/>
      <c r="F126" s="1422"/>
      <c r="G126" s="1422"/>
      <c r="H126" s="1422"/>
    </row>
    <row r="128" spans="2:8" ht="30" customHeight="1">
      <c r="C128" s="1422" t="s">
        <v>264</v>
      </c>
      <c r="D128" s="1422"/>
      <c r="E128" s="1422"/>
      <c r="F128" s="1422"/>
      <c r="G128" s="1422"/>
      <c r="H128" s="1422"/>
    </row>
    <row r="130" spans="3:8" ht="30" customHeight="1">
      <c r="C130" s="1422" t="s">
        <v>265</v>
      </c>
      <c r="D130" s="1422"/>
      <c r="E130" s="1422"/>
      <c r="F130" s="1422"/>
      <c r="G130" s="1422"/>
      <c r="H130" s="1422"/>
    </row>
    <row r="132" spans="3:8" ht="30" customHeight="1">
      <c r="C132" s="1422" t="s">
        <v>266</v>
      </c>
      <c r="D132" s="1422"/>
      <c r="E132" s="1422"/>
      <c r="F132" s="1422"/>
      <c r="G132" s="1422"/>
      <c r="H132" s="1422"/>
    </row>
  </sheetData>
  <sheetProtection algorithmName="SHA-512" hashValue="WXdQ68J88aPr9mudoIp5x2exsz4/KatMcnQYgVbnUi8mNH5Gt4n/OLzrqFKUVAQhj+WaiFpD1n7DKmH5UHqcIg==" saltValue="4TZ642ePt6xpqL9NPCKavA==" spinCount="100000" sheet="1" objects="1" scenarios="1"/>
  <mergeCells count="17">
    <mergeCell ref="C126:H126"/>
    <mergeCell ref="C128:H128"/>
    <mergeCell ref="C130:H130"/>
    <mergeCell ref="C132:H132"/>
    <mergeCell ref="E70:H71"/>
    <mergeCell ref="E73:H75"/>
    <mergeCell ref="E79:H80"/>
    <mergeCell ref="E85:H89"/>
    <mergeCell ref="K13:N14"/>
    <mergeCell ref="B64:G64"/>
    <mergeCell ref="B122:H122"/>
    <mergeCell ref="A1:I1"/>
    <mergeCell ref="B7:G7"/>
    <mergeCell ref="E4:G4"/>
    <mergeCell ref="B111:H111"/>
    <mergeCell ref="B68:H68"/>
    <mergeCell ref="E81:I83"/>
  </mergeCells>
  <pageMargins left="0.7" right="0.7" top="0.75" bottom="0.75" header="0.3" footer="0.3"/>
  <pageSetup paperSize="9" orientation="portrait"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4B7CE8-0584-4B91-AEEA-919CA7A5C573}">
  <sheetPr>
    <pageSetUpPr fitToPage="1"/>
  </sheetPr>
  <dimension ref="A1:K58"/>
  <sheetViews>
    <sheetView zoomScaleNormal="100" workbookViewId="0">
      <selection activeCell="A2" sqref="A2"/>
    </sheetView>
  </sheetViews>
  <sheetFormatPr defaultColWidth="9.140625" defaultRowHeight="12.75"/>
  <cols>
    <col min="1" max="1" width="8.5703125" style="1309" customWidth="1"/>
    <col min="2" max="2" width="75.140625" style="1309" customWidth="1"/>
    <col min="3" max="3" width="27" style="1309" bestFit="1" customWidth="1"/>
    <col min="4" max="11" width="20.7109375" style="1309" customWidth="1"/>
    <col min="12" max="16384" width="9.140625" style="1309"/>
  </cols>
  <sheetData>
    <row r="1" spans="1:11" ht="21" thickBot="1">
      <c r="A1" s="1649" t="str">
        <f>DNB&amp;" - AARDGAS - Tarieflijst periodieke distributienettarieven "&amp;JAAR&amp;" - Afname"</f>
        <v>Naam distributienetbeheerder - AARDGAS - Tarieflijst periodieke distributienettarieven 2022 - Afname</v>
      </c>
      <c r="B1" s="1650"/>
      <c r="C1" s="1650"/>
      <c r="D1" s="1650"/>
      <c r="E1" s="1650"/>
      <c r="F1" s="1650"/>
      <c r="G1" s="1650"/>
      <c r="H1" s="1650"/>
      <c r="I1" s="1650"/>
      <c r="J1" s="1650"/>
      <c r="K1" s="1651"/>
    </row>
    <row r="2" spans="1:11">
      <c r="J2" s="1310"/>
      <c r="K2" s="1310"/>
    </row>
    <row r="3" spans="1:11" ht="15" customHeight="1" thickBot="1">
      <c r="J3" s="1311"/>
      <c r="K3" s="1311"/>
    </row>
    <row r="4" spans="1:11" ht="15" customHeight="1">
      <c r="A4" s="1652"/>
      <c r="B4" s="1653"/>
      <c r="C4" s="1654"/>
      <c r="D4" s="1658" t="s">
        <v>523</v>
      </c>
      <c r="E4" s="1659"/>
      <c r="F4" s="1659"/>
      <c r="G4" s="1659"/>
      <c r="H4" s="1658" t="s">
        <v>522</v>
      </c>
      <c r="I4" s="1659"/>
      <c r="J4" s="1658" t="s">
        <v>521</v>
      </c>
      <c r="K4" s="1664"/>
    </row>
    <row r="5" spans="1:11" ht="21" customHeight="1" thickBot="1">
      <c r="A5" s="1655"/>
      <c r="B5" s="1656"/>
      <c r="C5" s="1657"/>
      <c r="D5" s="1660"/>
      <c r="E5" s="1661"/>
      <c r="F5" s="1661"/>
      <c r="G5" s="1661"/>
      <c r="H5" s="1662"/>
      <c r="I5" s="1663"/>
      <c r="J5" s="1662"/>
      <c r="K5" s="1665"/>
    </row>
    <row r="6" spans="1:11" ht="21" customHeight="1" thickBot="1">
      <c r="A6" s="1655"/>
      <c r="B6" s="1656"/>
      <c r="C6" s="1657"/>
      <c r="D6" s="1312" t="s">
        <v>392</v>
      </c>
      <c r="E6" s="1313" t="s">
        <v>391</v>
      </c>
      <c r="F6" s="1314" t="s">
        <v>390</v>
      </c>
      <c r="G6" s="1315" t="s">
        <v>389</v>
      </c>
      <c r="H6" s="1312" t="s">
        <v>388</v>
      </c>
      <c r="I6" s="1316" t="s">
        <v>376</v>
      </c>
      <c r="J6" s="1317" t="s">
        <v>520</v>
      </c>
      <c r="K6" s="1318" t="s">
        <v>386</v>
      </c>
    </row>
    <row r="7" spans="1:11" ht="21" customHeight="1" thickBot="1">
      <c r="A7" s="1655"/>
      <c r="B7" s="1656"/>
      <c r="C7" s="1657"/>
      <c r="D7" s="1662" t="s">
        <v>519</v>
      </c>
      <c r="E7" s="1663"/>
      <c r="F7" s="1663"/>
      <c r="G7" s="1663"/>
      <c r="H7" s="1662" t="s">
        <v>519</v>
      </c>
      <c r="I7" s="1663"/>
      <c r="J7" s="1662" t="s">
        <v>518</v>
      </c>
      <c r="K7" s="1665"/>
    </row>
    <row r="8" spans="1:11" ht="18" customHeight="1">
      <c r="A8" s="1655"/>
      <c r="B8" s="1656"/>
      <c r="C8" s="1657"/>
      <c r="D8" s="1319" t="s">
        <v>517</v>
      </c>
      <c r="E8" s="1320" t="s">
        <v>516</v>
      </c>
      <c r="F8" s="1321" t="s">
        <v>515</v>
      </c>
      <c r="G8" s="1322" t="s">
        <v>514</v>
      </c>
      <c r="H8" s="1319" t="s">
        <v>513</v>
      </c>
      <c r="I8" s="1323" t="s">
        <v>512</v>
      </c>
      <c r="J8" s="1662"/>
      <c r="K8" s="1665"/>
    </row>
    <row r="9" spans="1:11" ht="18" customHeight="1" thickBot="1">
      <c r="A9" s="1324"/>
      <c r="B9" s="1325"/>
      <c r="C9" s="1326"/>
      <c r="D9" s="1327"/>
      <c r="E9" s="1328"/>
      <c r="F9" s="1329"/>
      <c r="G9" s="1330"/>
      <c r="H9" s="1327"/>
      <c r="I9" s="1331"/>
      <c r="J9" s="1327"/>
      <c r="K9" s="1332"/>
    </row>
    <row r="10" spans="1:11" ht="18.75" customHeight="1">
      <c r="A10" s="1333" t="s">
        <v>511</v>
      </c>
      <c r="B10" s="1334"/>
      <c r="C10" s="1335"/>
      <c r="D10" s="1336"/>
      <c r="E10" s="1337"/>
      <c r="F10" s="1337"/>
      <c r="G10" s="1338"/>
      <c r="H10" s="1336"/>
      <c r="I10" s="1334"/>
      <c r="J10" s="1336"/>
      <c r="K10" s="1335"/>
    </row>
    <row r="11" spans="1:11" ht="18.75" customHeight="1">
      <c r="A11" s="1333"/>
      <c r="B11" s="1334"/>
      <c r="C11" s="1335"/>
      <c r="D11" s="1336"/>
      <c r="E11" s="1337"/>
      <c r="F11" s="1337"/>
      <c r="G11" s="1337"/>
      <c r="H11" s="1336"/>
      <c r="I11" s="1334"/>
      <c r="J11" s="1336"/>
      <c r="K11" s="1335"/>
    </row>
    <row r="12" spans="1:11" ht="18.75" customHeight="1">
      <c r="A12" s="1339" t="s">
        <v>499</v>
      </c>
      <c r="B12" s="1340" t="s">
        <v>510</v>
      </c>
      <c r="C12" s="1341"/>
      <c r="D12" s="1336"/>
      <c r="E12" s="1337"/>
      <c r="F12" s="1337"/>
      <c r="G12" s="1337"/>
      <c r="H12" s="1336"/>
      <c r="I12" s="1334"/>
      <c r="J12" s="1336"/>
      <c r="K12" s="1335"/>
    </row>
    <row r="13" spans="1:11" ht="18.75" customHeight="1">
      <c r="A13" s="1342"/>
      <c r="B13" s="1343" t="s">
        <v>509</v>
      </c>
      <c r="C13" s="1344" t="s">
        <v>447</v>
      </c>
      <c r="D13" s="1345">
        <f>'T7'!$E$13</f>
        <v>0</v>
      </c>
      <c r="E13" s="1346">
        <f>'T7'!$F$13</f>
        <v>0</v>
      </c>
      <c r="F13" s="1346">
        <f>'T7'!$G$13</f>
        <v>0</v>
      </c>
      <c r="G13" s="1346">
        <f>'T7'!$H$13</f>
        <v>0</v>
      </c>
      <c r="H13" s="1347"/>
      <c r="I13" s="1348"/>
      <c r="J13" s="1347"/>
      <c r="K13" s="1349"/>
    </row>
    <row r="14" spans="1:11" ht="18.75" customHeight="1">
      <c r="A14" s="1342"/>
      <c r="B14" s="1343" t="s">
        <v>508</v>
      </c>
      <c r="C14" s="1344" t="s">
        <v>399</v>
      </c>
      <c r="D14" s="1350">
        <f>'T7'!$E$14</f>
        <v>0</v>
      </c>
      <c r="E14" s="1351">
        <f>'T7'!$F$14</f>
        <v>0</v>
      </c>
      <c r="F14" s="1351">
        <f>'T7'!$G$14</f>
        <v>0</v>
      </c>
      <c r="G14" s="1351">
        <f>'T7'!$H$14</f>
        <v>0</v>
      </c>
      <c r="H14" s="1350">
        <f>'T7'!$I$14</f>
        <v>0</v>
      </c>
      <c r="I14" s="1352">
        <f>'T7'!$J$14</f>
        <v>0</v>
      </c>
      <c r="J14" s="1350">
        <f>'T7'!$K$14</f>
        <v>0</v>
      </c>
      <c r="K14" s="1353">
        <f>'T7'!$L$14</f>
        <v>0</v>
      </c>
    </row>
    <row r="15" spans="1:11" ht="18.75" customHeight="1">
      <c r="A15" s="1342"/>
      <c r="B15" s="1343" t="s">
        <v>507</v>
      </c>
      <c r="C15" s="1344" t="s">
        <v>506</v>
      </c>
      <c r="D15" s="1354"/>
      <c r="E15" s="1355"/>
      <c r="F15" s="1355"/>
      <c r="G15" s="1355"/>
      <c r="H15" s="1350">
        <f>'T7'!$I$15</f>
        <v>0</v>
      </c>
      <c r="I15" s="1352">
        <f>'T7'!$J$15</f>
        <v>0</v>
      </c>
      <c r="J15" s="1354"/>
      <c r="K15" s="1356"/>
    </row>
    <row r="16" spans="1:11" s="1361" customFormat="1" ht="18" customHeight="1">
      <c r="A16" s="1342"/>
      <c r="B16" s="1334"/>
      <c r="C16" s="1335"/>
      <c r="D16" s="1357"/>
      <c r="E16" s="1358"/>
      <c r="F16" s="1358"/>
      <c r="G16" s="1358"/>
      <c r="H16" s="1357"/>
      <c r="I16" s="1359"/>
      <c r="J16" s="1357"/>
      <c r="K16" s="1360"/>
    </row>
    <row r="17" spans="1:11" ht="18" customHeight="1">
      <c r="A17" s="1339" t="s">
        <v>497</v>
      </c>
      <c r="B17" s="1340" t="s">
        <v>505</v>
      </c>
      <c r="C17" s="1344" t="s">
        <v>399</v>
      </c>
      <c r="D17" s="1362"/>
      <c r="E17" s="1363"/>
      <c r="F17" s="1364"/>
      <c r="G17" s="1364"/>
      <c r="H17" s="1365"/>
      <c r="I17" s="1364"/>
      <c r="J17" s="1365"/>
      <c r="K17" s="1366"/>
    </row>
    <row r="18" spans="1:11" ht="18" customHeight="1">
      <c r="A18" s="1342"/>
      <c r="B18" s="1334"/>
      <c r="C18" s="1367"/>
      <c r="D18" s="1358"/>
      <c r="E18" s="1358"/>
      <c r="F18" s="1358"/>
      <c r="G18" s="1358"/>
      <c r="H18" s="1357"/>
      <c r="I18" s="1359"/>
      <c r="J18" s="1357"/>
      <c r="K18" s="1360"/>
    </row>
    <row r="19" spans="1:11" ht="17.25" customHeight="1">
      <c r="A19" s="1339" t="s">
        <v>495</v>
      </c>
      <c r="B19" s="1368" t="s">
        <v>365</v>
      </c>
      <c r="C19" s="1367"/>
      <c r="D19" s="1358"/>
      <c r="E19" s="1358"/>
      <c r="F19" s="1358"/>
      <c r="G19" s="1358"/>
      <c r="H19" s="1357"/>
      <c r="I19" s="1359"/>
      <c r="J19" s="1357"/>
      <c r="K19" s="1360"/>
    </row>
    <row r="20" spans="1:11" ht="18" customHeight="1">
      <c r="A20" s="1342"/>
      <c r="B20" s="1343" t="s">
        <v>7</v>
      </c>
      <c r="C20" s="1344" t="s">
        <v>447</v>
      </c>
      <c r="D20" s="1669"/>
      <c r="E20" s="1670"/>
      <c r="F20" s="1670"/>
      <c r="G20" s="1671"/>
      <c r="H20" s="1666">
        <f>'T7'!$I$19</f>
        <v>0</v>
      </c>
      <c r="I20" s="1668"/>
      <c r="J20" s="1669"/>
      <c r="K20" s="1671"/>
    </row>
    <row r="21" spans="1:11" ht="18" customHeight="1">
      <c r="A21" s="1342"/>
      <c r="B21" s="1343" t="s">
        <v>8</v>
      </c>
      <c r="C21" s="1344" t="s">
        <v>447</v>
      </c>
      <c r="D21" s="1666">
        <f>'T7'!$E$20</f>
        <v>0</v>
      </c>
      <c r="E21" s="1667"/>
      <c r="F21" s="1667"/>
      <c r="G21" s="1668"/>
      <c r="H21" s="1669"/>
      <c r="I21" s="1670"/>
      <c r="J21" s="1669"/>
      <c r="K21" s="1671"/>
    </row>
    <row r="22" spans="1:11" ht="21" customHeight="1">
      <c r="A22" s="1342"/>
      <c r="B22" s="1343" t="s">
        <v>504</v>
      </c>
      <c r="C22" s="1344" t="s">
        <v>447</v>
      </c>
      <c r="D22" s="1666">
        <f>'T7'!$E$21</f>
        <v>0</v>
      </c>
      <c r="E22" s="1667"/>
      <c r="F22" s="1667"/>
      <c r="G22" s="1668"/>
      <c r="H22" s="1669"/>
      <c r="I22" s="1670"/>
      <c r="J22" s="1669"/>
      <c r="K22" s="1671"/>
    </row>
    <row r="23" spans="1:11" ht="18" customHeight="1">
      <c r="A23" s="1342"/>
      <c r="B23" s="1334"/>
      <c r="C23" s="1367"/>
      <c r="D23" s="1357"/>
      <c r="E23" s="1358"/>
      <c r="F23" s="1358"/>
      <c r="G23" s="1369"/>
      <c r="H23" s="1357"/>
      <c r="I23" s="1359"/>
      <c r="J23" s="1357"/>
      <c r="K23" s="1360"/>
    </row>
    <row r="24" spans="1:11" ht="18" customHeight="1">
      <c r="A24" s="1333" t="s">
        <v>503</v>
      </c>
      <c r="B24" s="1334"/>
      <c r="C24" s="1344" t="s">
        <v>399</v>
      </c>
      <c r="D24" s="1370">
        <f>'T7'!$E$23</f>
        <v>0</v>
      </c>
      <c r="E24" s="1371">
        <f>'T7'!$F$23</f>
        <v>0</v>
      </c>
      <c r="F24" s="1372">
        <f>'T7'!$G$23</f>
        <v>0</v>
      </c>
      <c r="G24" s="1364"/>
      <c r="H24" s="1365"/>
      <c r="I24" s="1364"/>
      <c r="J24" s="1365"/>
      <c r="K24" s="1366"/>
    </row>
    <row r="25" spans="1:11" ht="18" customHeight="1">
      <c r="A25" s="1342"/>
      <c r="B25" s="1334"/>
      <c r="C25" s="1367"/>
      <c r="D25" s="1357"/>
      <c r="E25" s="1358"/>
      <c r="F25" s="1358"/>
      <c r="G25" s="1358"/>
      <c r="H25" s="1357"/>
      <c r="I25" s="1359"/>
      <c r="J25" s="1357"/>
      <c r="K25" s="1360"/>
    </row>
    <row r="26" spans="1:11" ht="20.25" customHeight="1">
      <c r="A26" s="1333" t="s">
        <v>502</v>
      </c>
      <c r="B26" s="1334"/>
      <c r="C26" s="1344" t="s">
        <v>399</v>
      </c>
      <c r="D26" s="1362"/>
      <c r="E26" s="1363"/>
      <c r="F26" s="1364"/>
      <c r="G26" s="1364"/>
      <c r="H26" s="1365"/>
      <c r="I26" s="1364"/>
      <c r="J26" s="1365"/>
      <c r="K26" s="1366"/>
    </row>
    <row r="27" spans="1:11" ht="18" customHeight="1">
      <c r="A27" s="1342"/>
      <c r="B27" s="1334"/>
      <c r="C27" s="1367"/>
      <c r="D27" s="1357"/>
      <c r="E27" s="1358"/>
      <c r="F27" s="1358"/>
      <c r="G27" s="1358"/>
      <c r="H27" s="1357"/>
      <c r="I27" s="1359"/>
      <c r="J27" s="1357"/>
      <c r="K27" s="1360"/>
    </row>
    <row r="28" spans="1:11" ht="17.25" customHeight="1">
      <c r="A28" s="1333" t="s">
        <v>501</v>
      </c>
      <c r="B28" s="1334"/>
      <c r="C28" s="1344" t="s">
        <v>399</v>
      </c>
      <c r="D28" s="1362"/>
      <c r="E28" s="1363"/>
      <c r="F28" s="1364"/>
      <c r="G28" s="1364"/>
      <c r="H28" s="1365"/>
      <c r="I28" s="1364"/>
      <c r="J28" s="1365"/>
      <c r="K28" s="1366"/>
    </row>
    <row r="29" spans="1:11" ht="18" customHeight="1">
      <c r="A29" s="1342"/>
      <c r="B29" s="1334"/>
      <c r="C29" s="1367"/>
      <c r="D29" s="1357"/>
      <c r="E29" s="1358"/>
      <c r="F29" s="1358"/>
      <c r="G29" s="1358"/>
      <c r="H29" s="1357"/>
      <c r="I29" s="1359"/>
      <c r="J29" s="1357"/>
      <c r="K29" s="1360"/>
    </row>
    <row r="30" spans="1:11" ht="22.5" customHeight="1">
      <c r="A30" s="1373" t="s">
        <v>500</v>
      </c>
      <c r="B30" s="1334"/>
      <c r="C30" s="1344"/>
      <c r="D30" s="1357"/>
      <c r="E30" s="1358"/>
      <c r="F30" s="1358"/>
      <c r="G30" s="1358"/>
      <c r="H30" s="1357"/>
      <c r="I30" s="1359"/>
      <c r="J30" s="1357"/>
      <c r="K30" s="1360"/>
    </row>
    <row r="31" spans="1:11" ht="18" customHeight="1">
      <c r="A31" s="1374" t="s">
        <v>499</v>
      </c>
      <c r="B31" s="1375" t="s">
        <v>498</v>
      </c>
      <c r="C31" s="1376" t="s">
        <v>399</v>
      </c>
      <c r="D31" s="1377"/>
      <c r="E31" s="1378"/>
      <c r="F31" s="1379"/>
      <c r="G31" s="1379"/>
      <c r="H31" s="1380"/>
      <c r="I31" s="1379"/>
      <c r="J31" s="1380"/>
      <c r="K31" s="1381"/>
    </row>
    <row r="32" spans="1:11" ht="18" customHeight="1">
      <c r="A32" s="1374" t="s">
        <v>497</v>
      </c>
      <c r="B32" s="1382" t="s">
        <v>496</v>
      </c>
      <c r="C32" s="1376" t="s">
        <v>399</v>
      </c>
      <c r="D32" s="1377"/>
      <c r="E32" s="1378"/>
      <c r="F32" s="1379"/>
      <c r="G32" s="1379"/>
      <c r="H32" s="1380"/>
      <c r="I32" s="1379"/>
      <c r="J32" s="1380"/>
      <c r="K32" s="1381"/>
    </row>
    <row r="33" spans="1:11" ht="18" customHeight="1">
      <c r="A33" s="1383" t="s">
        <v>495</v>
      </c>
      <c r="B33" s="1375" t="s">
        <v>494</v>
      </c>
      <c r="C33" s="1376" t="s">
        <v>399</v>
      </c>
      <c r="D33" s="1377"/>
      <c r="E33" s="1378"/>
      <c r="F33" s="1379"/>
      <c r="G33" s="1379"/>
      <c r="H33" s="1380"/>
      <c r="I33" s="1379"/>
      <c r="J33" s="1380"/>
      <c r="K33" s="1381"/>
    </row>
    <row r="34" spans="1:11" ht="18" customHeight="1">
      <c r="A34" s="1383" t="s">
        <v>493</v>
      </c>
      <c r="B34" s="1382" t="s">
        <v>492</v>
      </c>
      <c r="C34" s="1376" t="s">
        <v>399</v>
      </c>
      <c r="D34" s="1384">
        <f>'T7'!$E$27</f>
        <v>0</v>
      </c>
      <c r="E34" s="1385">
        <f>'T7'!$F$27</f>
        <v>0</v>
      </c>
      <c r="F34" s="1386">
        <f>'T7'!$G$27</f>
        <v>0</v>
      </c>
      <c r="G34" s="1386">
        <f>'T7'!$H$27</f>
        <v>0</v>
      </c>
      <c r="H34" s="1387">
        <f>'T7'!$I$27</f>
        <v>0</v>
      </c>
      <c r="I34" s="1386">
        <f>'T7'!$J$27</f>
        <v>0</v>
      </c>
      <c r="J34" s="1380"/>
      <c r="K34" s="1381"/>
    </row>
    <row r="35" spans="1:11" ht="18" customHeight="1">
      <c r="A35" s="1383" t="s">
        <v>491</v>
      </c>
      <c r="B35" s="1382" t="s">
        <v>490</v>
      </c>
      <c r="C35" s="1376" t="s">
        <v>399</v>
      </c>
      <c r="D35" s="1377"/>
      <c r="E35" s="1378"/>
      <c r="F35" s="1379"/>
      <c r="G35" s="1379"/>
      <c r="H35" s="1380"/>
      <c r="I35" s="1379"/>
      <c r="J35" s="1380"/>
      <c r="K35" s="1381"/>
    </row>
    <row r="36" spans="1:11" s="1390" customFormat="1" ht="31.5" customHeight="1">
      <c r="A36" s="1388" t="s">
        <v>489</v>
      </c>
      <c r="B36" s="1389" t="s">
        <v>488</v>
      </c>
      <c r="C36" s="1376" t="s">
        <v>399</v>
      </c>
      <c r="D36" s="1384">
        <f>'T7'!$E$28</f>
        <v>0</v>
      </c>
      <c r="E36" s="1385">
        <f>'T7'!$F$28</f>
        <v>0</v>
      </c>
      <c r="F36" s="1386">
        <f>'T7'!$G$28</f>
        <v>0</v>
      </c>
      <c r="G36" s="1386">
        <f>'T7'!$H$28</f>
        <v>0</v>
      </c>
      <c r="H36" s="1387">
        <f>'T7'!$I$28</f>
        <v>0</v>
      </c>
      <c r="I36" s="1386">
        <f>'T7'!$J$28</f>
        <v>0</v>
      </c>
      <c r="J36" s="1380"/>
      <c r="K36" s="1381"/>
    </row>
    <row r="37" spans="1:11" ht="15.75" thickBot="1">
      <c r="A37" s="1391"/>
      <c r="B37" s="1311"/>
      <c r="C37" s="1392"/>
      <c r="D37" s="1393"/>
      <c r="E37" s="1394"/>
      <c r="F37" s="1394"/>
      <c r="G37" s="1394"/>
      <c r="H37" s="1393"/>
      <c r="I37" s="1395"/>
      <c r="J37" s="1393"/>
      <c r="K37" s="1396"/>
    </row>
    <row r="39" spans="1:11">
      <c r="A39" s="530"/>
      <c r="B39" s="530"/>
      <c r="C39" s="530"/>
      <c r="D39" s="530"/>
      <c r="E39" s="530"/>
      <c r="F39" s="530"/>
      <c r="G39" s="530"/>
      <c r="H39" s="530"/>
      <c r="I39" s="530"/>
      <c r="J39" s="530"/>
      <c r="K39" s="530"/>
    </row>
    <row r="40" spans="1:11">
      <c r="A40" s="530"/>
      <c r="B40" s="530"/>
      <c r="C40" s="530"/>
      <c r="D40" s="530"/>
      <c r="E40" s="530"/>
      <c r="F40" s="530"/>
      <c r="G40" s="530"/>
      <c r="H40" s="530"/>
      <c r="I40" s="530"/>
      <c r="J40" s="530"/>
      <c r="K40" s="530"/>
    </row>
    <row r="41" spans="1:11">
      <c r="A41" s="530"/>
      <c r="B41" s="530"/>
      <c r="C41" s="530"/>
      <c r="D41" s="530"/>
      <c r="E41" s="530"/>
      <c r="F41" s="530"/>
      <c r="G41" s="530"/>
      <c r="H41" s="530"/>
      <c r="I41" s="530"/>
      <c r="J41" s="530"/>
      <c r="K41" s="530"/>
    </row>
    <row r="42" spans="1:11">
      <c r="A42" s="530"/>
      <c r="B42" s="530"/>
      <c r="C42" s="530"/>
      <c r="D42" s="530"/>
      <c r="E42" s="530"/>
      <c r="F42" s="530"/>
      <c r="G42" s="530"/>
      <c r="H42" s="530"/>
      <c r="I42" s="530"/>
      <c r="J42" s="530"/>
      <c r="K42" s="530"/>
    </row>
    <row r="43" spans="1:11">
      <c r="A43" s="530"/>
      <c r="B43" s="530"/>
      <c r="C43" s="530"/>
      <c r="D43" s="530"/>
      <c r="E43" s="530"/>
      <c r="F43" s="530"/>
      <c r="G43" s="530"/>
      <c r="H43" s="530"/>
      <c r="I43" s="530"/>
      <c r="J43" s="530"/>
      <c r="K43" s="530"/>
    </row>
    <row r="44" spans="1:11">
      <c r="A44" s="530"/>
      <c r="B44" s="530"/>
      <c r="C44" s="530"/>
      <c r="D44" s="530"/>
      <c r="E44" s="530"/>
      <c r="F44" s="530"/>
      <c r="G44" s="530"/>
      <c r="H44" s="530"/>
      <c r="I44" s="530"/>
      <c r="J44" s="530"/>
      <c r="K44" s="530"/>
    </row>
    <row r="45" spans="1:11">
      <c r="A45" s="530"/>
      <c r="B45" s="530"/>
      <c r="C45" s="530"/>
      <c r="D45" s="530"/>
      <c r="E45" s="530"/>
      <c r="F45" s="530"/>
      <c r="G45" s="530"/>
      <c r="H45" s="530"/>
      <c r="I45" s="530"/>
      <c r="J45" s="530"/>
      <c r="K45" s="530"/>
    </row>
    <row r="46" spans="1:11">
      <c r="A46" s="530"/>
      <c r="B46" s="530"/>
      <c r="C46" s="530"/>
      <c r="D46" s="530"/>
      <c r="E46" s="530"/>
      <c r="F46" s="530"/>
      <c r="G46" s="530"/>
      <c r="H46" s="530"/>
      <c r="I46" s="530"/>
      <c r="J46" s="530"/>
      <c r="K46" s="530"/>
    </row>
    <row r="47" spans="1:11">
      <c r="A47" s="530"/>
      <c r="B47" s="530"/>
      <c r="C47" s="530"/>
      <c r="D47" s="530"/>
      <c r="E47" s="530"/>
      <c r="F47" s="530"/>
      <c r="G47" s="530"/>
      <c r="H47" s="530"/>
      <c r="I47" s="530"/>
      <c r="J47" s="530"/>
      <c r="K47" s="530"/>
    </row>
    <row r="48" spans="1:11">
      <c r="A48" s="530"/>
      <c r="B48" s="530"/>
      <c r="C48" s="530"/>
      <c r="D48" s="530"/>
      <c r="E48" s="530"/>
      <c r="F48" s="530"/>
      <c r="G48" s="530"/>
      <c r="H48" s="530"/>
      <c r="I48" s="530"/>
      <c r="J48" s="530"/>
      <c r="K48" s="530"/>
    </row>
    <row r="49" spans="1:11">
      <c r="A49" s="530"/>
      <c r="B49" s="530"/>
      <c r="C49" s="530"/>
      <c r="D49" s="530"/>
      <c r="E49" s="530"/>
      <c r="F49" s="530"/>
      <c r="G49" s="530"/>
      <c r="H49" s="530"/>
      <c r="I49" s="530"/>
      <c r="J49" s="530"/>
      <c r="K49" s="530"/>
    </row>
    <row r="50" spans="1:11">
      <c r="A50" s="530"/>
      <c r="B50" s="530"/>
      <c r="C50" s="530"/>
      <c r="D50" s="530"/>
      <c r="E50" s="530"/>
      <c r="F50" s="530"/>
      <c r="G50" s="530"/>
      <c r="H50" s="530"/>
      <c r="I50" s="530"/>
      <c r="J50" s="530"/>
      <c r="K50" s="530"/>
    </row>
    <row r="51" spans="1:11">
      <c r="A51" s="530"/>
      <c r="B51" s="530"/>
      <c r="C51" s="530"/>
      <c r="D51" s="530"/>
      <c r="E51" s="530"/>
      <c r="F51" s="530"/>
      <c r="G51" s="530"/>
      <c r="H51" s="530"/>
      <c r="I51" s="530"/>
      <c r="J51" s="530"/>
      <c r="K51" s="530"/>
    </row>
    <row r="52" spans="1:11">
      <c r="A52" s="530"/>
      <c r="B52" s="530"/>
      <c r="C52" s="530"/>
      <c r="D52" s="530"/>
      <c r="E52" s="530"/>
      <c r="F52" s="530"/>
      <c r="G52" s="530"/>
      <c r="H52" s="530"/>
      <c r="I52" s="530"/>
      <c r="J52" s="530"/>
      <c r="K52" s="530"/>
    </row>
    <row r="53" spans="1:11">
      <c r="A53" s="530"/>
      <c r="B53" s="530"/>
      <c r="C53" s="530"/>
      <c r="D53" s="530"/>
      <c r="E53" s="530"/>
      <c r="F53" s="530"/>
      <c r="G53" s="530"/>
      <c r="H53" s="530"/>
      <c r="I53" s="530"/>
      <c r="J53" s="530"/>
      <c r="K53" s="530"/>
    </row>
    <row r="54" spans="1:11">
      <c r="A54" s="530"/>
      <c r="B54" s="530"/>
      <c r="C54" s="530"/>
      <c r="D54" s="530"/>
      <c r="E54" s="530"/>
      <c r="F54" s="530"/>
      <c r="G54" s="530"/>
      <c r="H54" s="530"/>
      <c r="I54" s="530"/>
      <c r="J54" s="530"/>
      <c r="K54" s="530"/>
    </row>
    <row r="55" spans="1:11">
      <c r="A55" s="530"/>
      <c r="B55" s="530"/>
      <c r="C55" s="530"/>
      <c r="D55" s="530"/>
      <c r="E55" s="530"/>
      <c r="F55" s="530"/>
      <c r="G55" s="530"/>
      <c r="H55" s="530"/>
      <c r="I55" s="530"/>
      <c r="J55" s="530"/>
      <c r="K55" s="530"/>
    </row>
    <row r="56" spans="1:11">
      <c r="A56" s="530"/>
      <c r="B56" s="530"/>
      <c r="C56" s="530"/>
      <c r="D56" s="530"/>
      <c r="E56" s="530"/>
      <c r="F56" s="530"/>
      <c r="G56" s="530"/>
      <c r="H56" s="530"/>
      <c r="I56" s="530"/>
      <c r="J56" s="530"/>
      <c r="K56" s="530"/>
    </row>
    <row r="57" spans="1:11">
      <c r="A57" s="530"/>
      <c r="B57" s="530"/>
      <c r="C57" s="530"/>
      <c r="D57" s="530"/>
      <c r="E57" s="530"/>
      <c r="F57" s="530"/>
      <c r="G57" s="530"/>
      <c r="H57" s="530"/>
      <c r="I57" s="530"/>
      <c r="J57" s="530"/>
      <c r="K57" s="530"/>
    </row>
    <row r="58" spans="1:11">
      <c r="A58" s="530"/>
      <c r="B58" s="530"/>
      <c r="C58" s="530"/>
      <c r="D58" s="530"/>
      <c r="E58" s="530"/>
      <c r="F58" s="530"/>
      <c r="G58" s="530"/>
      <c r="H58" s="530"/>
      <c r="I58" s="530"/>
      <c r="J58" s="530"/>
      <c r="K58" s="530"/>
    </row>
  </sheetData>
  <sheetProtection algorithmName="SHA-512" hashValue="CemETp2KjsnluFh9YbWiY2weZl3GakbRrEPyXZaUwJ4QMUqd6rzqQ0APj4KKU/mscrs264KJXgazWehyqVoGYQ==" saltValue="352rD6xCNAKZkHWDISSCiA==" spinCount="100000" sheet="1" objects="1" scenarios="1"/>
  <mergeCells count="17">
    <mergeCell ref="D22:G22"/>
    <mergeCell ref="H22:I22"/>
    <mergeCell ref="J22:K22"/>
    <mergeCell ref="D20:G20"/>
    <mergeCell ref="H20:I20"/>
    <mergeCell ref="J20:K20"/>
    <mergeCell ref="D21:G21"/>
    <mergeCell ref="H21:I21"/>
    <mergeCell ref="J21:K21"/>
    <mergeCell ref="A1:K1"/>
    <mergeCell ref="A4:C8"/>
    <mergeCell ref="D4:G5"/>
    <mergeCell ref="H4:I5"/>
    <mergeCell ref="J4:K5"/>
    <mergeCell ref="D7:G7"/>
    <mergeCell ref="H7:I7"/>
    <mergeCell ref="J7:K8"/>
  </mergeCells>
  <pageMargins left="0.19685039370078741" right="0.19685039370078741" top="0.39370078740157483" bottom="0.39370078740157483" header="0.51181102362204722" footer="0.19685039370078741"/>
  <pageSetup paperSize="9" scale="52" orientation="landscape"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0EB92A-C31D-4729-9BD5-BF36A1B6ED33}">
  <sheetPr>
    <pageSetUpPr fitToPage="1"/>
  </sheetPr>
  <dimension ref="A1:I33"/>
  <sheetViews>
    <sheetView zoomScaleNormal="100" workbookViewId="0">
      <selection activeCell="A2" sqref="A2"/>
    </sheetView>
  </sheetViews>
  <sheetFormatPr defaultColWidth="9.140625" defaultRowHeight="12.75"/>
  <cols>
    <col min="1" max="1" width="8.5703125" style="1309" customWidth="1"/>
    <col min="2" max="2" width="75.140625" style="1309" customWidth="1"/>
    <col min="3" max="3" width="27" style="1309" bestFit="1" customWidth="1"/>
    <col min="4" max="9" width="20.7109375" style="1309" customWidth="1"/>
    <col min="10" max="16384" width="9.140625" style="1309"/>
  </cols>
  <sheetData>
    <row r="1" spans="1:9" ht="21" thickBot="1">
      <c r="A1" s="1649" t="str">
        <f>DNB&amp;" - AARDGAS - Tarieflijst periodieke distributienettarieven "&amp;JAAR&amp;" - Injectie"</f>
        <v>Naam distributienetbeheerder - AARDGAS - Tarieflijst periodieke distributienettarieven 2022 - Injectie</v>
      </c>
      <c r="B1" s="1650"/>
      <c r="C1" s="1650"/>
      <c r="D1" s="1650"/>
      <c r="E1" s="1650"/>
      <c r="F1" s="1650"/>
      <c r="G1" s="1650"/>
      <c r="H1" s="1650"/>
      <c r="I1" s="1651"/>
    </row>
    <row r="2" spans="1:9">
      <c r="A2" s="1397"/>
    </row>
    <row r="3" spans="1:9" ht="15" customHeight="1" thickBot="1">
      <c r="A3" s="1397"/>
    </row>
    <row r="4" spans="1:9" ht="15" customHeight="1">
      <c r="A4" s="1652"/>
      <c r="B4" s="1653"/>
      <c r="C4" s="1654"/>
      <c r="D4" s="1675" t="s">
        <v>525</v>
      </c>
    </row>
    <row r="5" spans="1:9" ht="21" customHeight="1" thickBot="1">
      <c r="A5" s="1672"/>
      <c r="B5" s="1673"/>
      <c r="C5" s="1674"/>
      <c r="D5" s="1676"/>
    </row>
    <row r="6" spans="1:9" ht="18.75" customHeight="1">
      <c r="A6" s="1333" t="s">
        <v>511</v>
      </c>
      <c r="B6" s="1334"/>
      <c r="C6" s="1335"/>
      <c r="D6" s="1398"/>
    </row>
    <row r="7" spans="1:9" s="1361" customFormat="1" ht="18" customHeight="1">
      <c r="A7" s="1342"/>
      <c r="B7" s="1334"/>
      <c r="C7" s="1335"/>
      <c r="D7" s="1399"/>
      <c r="E7" s="1309"/>
      <c r="F7" s="1309"/>
      <c r="G7" s="1309"/>
      <c r="H7" s="1309"/>
      <c r="I7" s="1309"/>
    </row>
    <row r="8" spans="1:9" ht="19.5" customHeight="1">
      <c r="A8" s="1339" t="s">
        <v>497</v>
      </c>
      <c r="B8" s="1340" t="s">
        <v>505</v>
      </c>
      <c r="C8" s="1344" t="s">
        <v>399</v>
      </c>
      <c r="D8" s="1400">
        <f>'T7'!$M$17</f>
        <v>0</v>
      </c>
    </row>
    <row r="9" spans="1:9" ht="14.25" customHeight="1">
      <c r="A9" s="1342"/>
      <c r="B9" s="1334"/>
      <c r="C9" s="1367"/>
      <c r="D9" s="1360"/>
    </row>
    <row r="10" spans="1:9" ht="18" customHeight="1">
      <c r="A10" s="1339" t="s">
        <v>495</v>
      </c>
      <c r="B10" s="1368" t="s">
        <v>365</v>
      </c>
      <c r="C10" s="1367"/>
      <c r="D10" s="1360"/>
    </row>
    <row r="11" spans="1:9" ht="18" customHeight="1">
      <c r="A11" s="1342"/>
      <c r="B11" s="1343" t="s">
        <v>7</v>
      </c>
      <c r="C11" s="1344" t="s">
        <v>447</v>
      </c>
      <c r="D11" s="1401">
        <f>'T7'!$M$19</f>
        <v>0</v>
      </c>
    </row>
    <row r="12" spans="1:9" ht="15.75" thickBot="1">
      <c r="A12" s="1391"/>
      <c r="B12" s="1311"/>
      <c r="C12" s="1392"/>
      <c r="D12" s="1402"/>
    </row>
    <row r="14" spans="1:9">
      <c r="A14" s="530"/>
      <c r="B14" s="530"/>
      <c r="C14" s="530"/>
      <c r="D14" s="530"/>
    </row>
    <row r="15" spans="1:9">
      <c r="A15" s="530"/>
      <c r="B15" s="530"/>
      <c r="C15" s="530"/>
      <c r="D15" s="530"/>
    </row>
    <row r="16" spans="1:9">
      <c r="A16" s="530"/>
      <c r="B16" s="530"/>
      <c r="C16" s="530"/>
      <c r="D16" s="530"/>
    </row>
    <row r="17" spans="1:4">
      <c r="A17" s="530"/>
      <c r="B17" s="530"/>
      <c r="C17" s="530"/>
      <c r="D17" s="530"/>
    </row>
    <row r="18" spans="1:4">
      <c r="A18" s="530"/>
      <c r="B18" s="530"/>
      <c r="C18" s="530"/>
      <c r="D18" s="530"/>
    </row>
    <row r="19" spans="1:4">
      <c r="A19" s="530"/>
      <c r="B19" s="530"/>
      <c r="C19" s="530"/>
      <c r="D19" s="530"/>
    </row>
    <row r="20" spans="1:4">
      <c r="A20" s="530"/>
      <c r="B20" s="530"/>
      <c r="C20" s="530"/>
      <c r="D20" s="530"/>
    </row>
    <row r="21" spans="1:4">
      <c r="A21" s="530"/>
      <c r="B21" s="530"/>
      <c r="C21" s="530"/>
      <c r="D21" s="530"/>
    </row>
    <row r="22" spans="1:4">
      <c r="A22" s="530"/>
      <c r="B22" s="530"/>
      <c r="C22" s="530"/>
      <c r="D22" s="530"/>
    </row>
    <row r="23" spans="1:4">
      <c r="A23" s="530"/>
      <c r="B23" s="530"/>
      <c r="C23" s="530"/>
      <c r="D23" s="530"/>
    </row>
    <row r="24" spans="1:4">
      <c r="A24" s="530"/>
      <c r="B24" s="530"/>
      <c r="C24" s="530"/>
      <c r="D24" s="530"/>
    </row>
    <row r="25" spans="1:4">
      <c r="A25" s="530"/>
      <c r="B25" s="530"/>
      <c r="C25" s="530"/>
      <c r="D25" s="530"/>
    </row>
    <row r="26" spans="1:4">
      <c r="A26" s="530"/>
      <c r="B26" s="530"/>
      <c r="C26" s="530"/>
      <c r="D26" s="530"/>
    </row>
    <row r="27" spans="1:4">
      <c r="A27" s="530"/>
      <c r="B27" s="530"/>
      <c r="C27" s="530"/>
      <c r="D27" s="530"/>
    </row>
    <row r="28" spans="1:4">
      <c r="A28" s="530"/>
      <c r="B28" s="530"/>
      <c r="C28" s="530"/>
      <c r="D28" s="530"/>
    </row>
    <row r="29" spans="1:4">
      <c r="A29" s="530"/>
      <c r="B29" s="530"/>
      <c r="C29" s="530"/>
      <c r="D29" s="530"/>
    </row>
    <row r="30" spans="1:4">
      <c r="A30" s="530"/>
      <c r="B30" s="530"/>
      <c r="C30" s="530"/>
      <c r="D30" s="530"/>
    </row>
    <row r="31" spans="1:4">
      <c r="A31" s="530"/>
      <c r="B31" s="530"/>
      <c r="C31" s="530"/>
      <c r="D31" s="530"/>
    </row>
    <row r="32" spans="1:4">
      <c r="A32" s="530"/>
      <c r="B32" s="530"/>
      <c r="C32" s="530"/>
      <c r="D32" s="530"/>
    </row>
    <row r="33" spans="1:4">
      <c r="A33" s="530"/>
      <c r="B33" s="530"/>
      <c r="C33" s="530"/>
      <c r="D33" s="530"/>
    </row>
  </sheetData>
  <sheetProtection algorithmName="SHA-512" hashValue="KqVn0jK/qDwd9wYLJMShemAeNHcAJNhEqRE8Pjfu0IAjtVCC7VXnFlzVnszSOluxuIXXQKS9FK/Kpln9R+83Vg==" saltValue="Hlzj0rACBBlSGttS7pBXKA==" spinCount="100000" sheet="1" objects="1" scenarios="1"/>
  <mergeCells count="3">
    <mergeCell ref="A1:I1"/>
    <mergeCell ref="A4:C5"/>
    <mergeCell ref="D4:D5"/>
  </mergeCells>
  <pageMargins left="0.19685039370078741" right="0.19685039370078741" top="0.39370078740157483" bottom="0.39370078740157483" header="0.51181102362204722" footer="0.19685039370078741"/>
  <pageSetup paperSize="9" scale="61" orientation="landscape"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945517-10A1-4C9D-A17B-2047C2115728}">
  <sheetPr published="0"/>
  <dimension ref="A1"/>
  <sheetViews>
    <sheetView workbookViewId="0"/>
  </sheetViews>
  <sheetFormatPr defaultRowHeight="15"/>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ublished="0" codeName="Blad16"/>
  <dimension ref="A1:Z54"/>
  <sheetViews>
    <sheetView zoomScaleNormal="100" workbookViewId="0">
      <selection activeCell="D4" sqref="D4:F4"/>
    </sheetView>
  </sheetViews>
  <sheetFormatPr defaultColWidth="10.7109375" defaultRowHeight="15" customHeight="1"/>
  <cols>
    <col min="1" max="1" width="30.7109375" style="591" customWidth="1"/>
    <col min="2" max="25" width="20.7109375" style="591" customWidth="1"/>
    <col min="26" max="26" width="10.7109375" style="591" customWidth="1"/>
    <col min="27" max="27" width="100.7109375" style="591" customWidth="1"/>
    <col min="28" max="16384" width="10.7109375" style="591"/>
  </cols>
  <sheetData>
    <row r="1" spans="1:26" ht="30" customHeight="1" thickBot="1">
      <c r="A1" s="1425" t="s">
        <v>172</v>
      </c>
      <c r="B1" s="1426"/>
      <c r="C1" s="1426"/>
      <c r="D1" s="1426"/>
      <c r="E1" s="1426"/>
      <c r="F1" s="1426"/>
      <c r="G1" s="1426"/>
      <c r="H1" s="1426"/>
      <c r="I1" s="1426"/>
      <c r="J1" s="1426"/>
      <c r="K1" s="1426"/>
      <c r="L1" s="1426"/>
      <c r="M1" s="1426"/>
      <c r="N1" s="1426"/>
      <c r="O1" s="253"/>
      <c r="P1" s="300"/>
    </row>
    <row r="2" spans="1:26" ht="15" customHeight="1">
      <c r="A2" s="52"/>
      <c r="B2" s="52"/>
      <c r="C2" s="52"/>
      <c r="D2" s="52"/>
      <c r="E2" s="52"/>
      <c r="F2" s="63"/>
      <c r="G2" s="63"/>
    </row>
    <row r="3" spans="1:26" ht="15" customHeight="1" thickBot="1">
      <c r="A3" s="54"/>
      <c r="B3" s="54"/>
      <c r="C3" s="54"/>
      <c r="D3" s="54"/>
      <c r="E3" s="55"/>
      <c r="F3" s="64"/>
      <c r="G3" s="64"/>
    </row>
    <row r="4" spans="1:26" ht="15" customHeight="1" thickBot="1">
      <c r="A4" s="56"/>
      <c r="B4" s="129" t="s">
        <v>6</v>
      </c>
      <c r="C4" s="58"/>
      <c r="D4" s="1418" t="str">
        <f>DNB</f>
        <v>Naam distributienetbeheerder</v>
      </c>
      <c r="E4" s="1419"/>
      <c r="F4" s="1420"/>
    </row>
    <row r="5" spans="1:26" ht="15" customHeight="1">
      <c r="A5" s="60"/>
      <c r="B5" s="60"/>
      <c r="C5" s="60"/>
      <c r="D5" s="60"/>
      <c r="E5" s="60"/>
    </row>
    <row r="6" spans="1:26" ht="15" customHeight="1" thickBot="1">
      <c r="A6" s="60"/>
      <c r="B6" s="60"/>
      <c r="C6" s="60"/>
      <c r="D6" s="60"/>
      <c r="E6" s="60"/>
    </row>
    <row r="7" spans="1:26" ht="15" customHeight="1">
      <c r="A7" s="281"/>
      <c r="B7" s="282"/>
      <c r="C7" s="1427" t="s">
        <v>237</v>
      </c>
      <c r="D7" s="1430"/>
      <c r="E7" s="1427" t="s">
        <v>173</v>
      </c>
      <c r="F7" s="1430"/>
      <c r="G7" s="1427" t="s">
        <v>106</v>
      </c>
      <c r="H7" s="1429"/>
      <c r="Y7" s="1"/>
    </row>
    <row r="8" spans="1:26" ht="15" customHeight="1" thickBot="1">
      <c r="A8" s="188" t="s">
        <v>100</v>
      </c>
      <c r="B8" s="87" t="s">
        <v>17</v>
      </c>
      <c r="C8" s="85" t="s">
        <v>231</v>
      </c>
      <c r="D8" s="87" t="s">
        <v>232</v>
      </c>
      <c r="E8" s="85" t="s">
        <v>233</v>
      </c>
      <c r="F8" s="87" t="s">
        <v>234</v>
      </c>
      <c r="G8" s="85" t="s">
        <v>235</v>
      </c>
      <c r="H8" s="189" t="s">
        <v>236</v>
      </c>
      <c r="Z8" s="1"/>
    </row>
    <row r="9" spans="1:26" ht="15" customHeight="1">
      <c r="A9" s="288" t="s">
        <v>238</v>
      </c>
      <c r="B9" s="289" t="s">
        <v>16</v>
      </c>
      <c r="C9" s="226" t="s">
        <v>108</v>
      </c>
      <c r="D9" s="190" t="s">
        <v>108</v>
      </c>
      <c r="E9" s="647"/>
      <c r="F9" s="648"/>
      <c r="G9" s="247" t="str">
        <f>IF(ISNUMBER($E9),$E9/SUM($E9:$F9),"")</f>
        <v/>
      </c>
      <c r="H9" s="283" t="str">
        <f>IF(ISNUMBER($F9),$F9/SUM($E9:$F9),"")</f>
        <v/>
      </c>
      <c r="J9" s="229"/>
    </row>
    <row r="10" spans="1:26" ht="15" customHeight="1">
      <c r="A10" s="286" t="s">
        <v>14</v>
      </c>
      <c r="B10" s="84" t="s">
        <v>14</v>
      </c>
      <c r="C10" s="227" t="s">
        <v>108</v>
      </c>
      <c r="D10" s="84" t="s">
        <v>108</v>
      </c>
      <c r="E10" s="235">
        <f>REKENVOLUMES!$D$28-(1-FACTOR_DOORVOER)*(REKENVOLUMES!$K$28+REKENVOLUMES!$P$28+REKENVOLUMES!$R$28)</f>
        <v>0</v>
      </c>
      <c r="F10" s="128">
        <f>INDEX(Rekenvolumes[Injectieklanten (∑)],15)</f>
        <v>0</v>
      </c>
      <c r="G10" s="248" t="e">
        <f>IF(ISNUMBER($E10),$E10/SUM($E10:$F10),"")</f>
        <v>#DIV/0!</v>
      </c>
      <c r="H10" s="284" t="e">
        <f>IF(ISNUMBER($F10),$F10/SUM($E10:$F10),"")</f>
        <v>#DIV/0!</v>
      </c>
    </row>
    <row r="11" spans="1:26" ht="15" customHeight="1">
      <c r="A11" s="287" t="s">
        <v>239</v>
      </c>
      <c r="B11" s="225"/>
      <c r="C11" s="224" t="s">
        <v>108</v>
      </c>
      <c r="D11" s="225"/>
      <c r="E11" s="291">
        <v>1</v>
      </c>
      <c r="F11" s="292">
        <v>0</v>
      </c>
      <c r="G11" s="249">
        <f>IF(ISNUMBER($E11),$E11/SUM($E11:$F11),"")</f>
        <v>1</v>
      </c>
      <c r="H11" s="285">
        <f>IF(ISNUMBER($F11),$F11/SUM($E11:$F11),"")</f>
        <v>0</v>
      </c>
    </row>
    <row r="12" spans="1:26" ht="15" customHeight="1">
      <c r="A12" s="287" t="s">
        <v>84</v>
      </c>
      <c r="B12" s="635"/>
      <c r="C12" s="224" t="s">
        <v>108</v>
      </c>
      <c r="D12" s="225" t="s">
        <v>108</v>
      </c>
      <c r="E12" s="639"/>
      <c r="F12" s="640"/>
      <c r="G12" s="249" t="str">
        <f>IF(ISNUMBER($E12),$E12/SUM($E12:$F12),"")</f>
        <v/>
      </c>
      <c r="H12" s="285" t="str">
        <f>IF(ISNUMBER($F12),$F12/SUM($E12:$F12),"")</f>
        <v/>
      </c>
    </row>
    <row r="13" spans="1:26" ht="15" customHeight="1">
      <c r="A13" s="636"/>
      <c r="B13" s="637"/>
      <c r="C13" s="638"/>
      <c r="D13" s="635"/>
      <c r="E13" s="639"/>
      <c r="F13" s="640"/>
      <c r="G13" s="667" t="str">
        <f t="shared" ref="G13:G15" si="0">IF(ISNUMBER($E13),$E13/SUM($E13:$F13),"")</f>
        <v/>
      </c>
      <c r="H13" s="668" t="str">
        <f t="shared" ref="H13:H15" si="1">IF(ISNUMBER($F13),$F13/SUM($E13:$F13),"")</f>
        <v/>
      </c>
    </row>
    <row r="14" spans="1:26" ht="15" customHeight="1">
      <c r="A14" s="636"/>
      <c r="B14" s="637"/>
      <c r="C14" s="638"/>
      <c r="D14" s="635"/>
      <c r="E14" s="639"/>
      <c r="F14" s="640"/>
      <c r="G14" s="667" t="str">
        <f t="shared" si="0"/>
        <v/>
      </c>
      <c r="H14" s="668" t="str">
        <f t="shared" si="1"/>
        <v/>
      </c>
    </row>
    <row r="15" spans="1:26" ht="15" customHeight="1" thickBot="1">
      <c r="A15" s="641"/>
      <c r="B15" s="642"/>
      <c r="C15" s="643"/>
      <c r="D15" s="644"/>
      <c r="E15" s="645"/>
      <c r="F15" s="646"/>
      <c r="G15" s="669" t="str">
        <f t="shared" si="0"/>
        <v/>
      </c>
      <c r="H15" s="670" t="str">
        <f t="shared" si="1"/>
        <v/>
      </c>
    </row>
    <row r="17" spans="1:14" ht="15" customHeight="1">
      <c r="C17" s="1"/>
      <c r="D17" s="1"/>
      <c r="E17" s="1"/>
      <c r="F17" s="1"/>
      <c r="G17" s="1"/>
      <c r="H17" s="1"/>
      <c r="J17" s="229"/>
      <c r="N17" s="229"/>
    </row>
    <row r="18" spans="1:14" ht="15" customHeight="1" thickBot="1"/>
    <row r="19" spans="1:14" ht="15" customHeight="1">
      <c r="A19" s="281"/>
      <c r="B19" s="282"/>
      <c r="C19" s="1427" t="s">
        <v>252</v>
      </c>
      <c r="D19" s="1428"/>
      <c r="E19" s="1428"/>
      <c r="F19" s="1430"/>
      <c r="G19" s="1427" t="s">
        <v>173</v>
      </c>
      <c r="H19" s="1428"/>
      <c r="I19" s="1428"/>
      <c r="J19" s="1430"/>
      <c r="K19" s="1427" t="s">
        <v>106</v>
      </c>
      <c r="L19" s="1428"/>
      <c r="M19" s="1428"/>
      <c r="N19" s="1429"/>
    </row>
    <row r="20" spans="1:14" ht="15" customHeight="1" thickBot="1">
      <c r="A20" s="188" t="s">
        <v>100</v>
      </c>
      <c r="B20" s="87" t="s">
        <v>17</v>
      </c>
      <c r="C20" s="85" t="s">
        <v>240</v>
      </c>
      <c r="D20" s="86" t="s">
        <v>241</v>
      </c>
      <c r="E20" s="86" t="s">
        <v>242</v>
      </c>
      <c r="F20" s="87" t="s">
        <v>243</v>
      </c>
      <c r="G20" s="85" t="s">
        <v>244</v>
      </c>
      <c r="H20" s="86" t="s">
        <v>245</v>
      </c>
      <c r="I20" s="86" t="s">
        <v>246</v>
      </c>
      <c r="J20" s="87" t="s">
        <v>247</v>
      </c>
      <c r="K20" s="85" t="s">
        <v>248</v>
      </c>
      <c r="L20" s="86" t="s">
        <v>249</v>
      </c>
      <c r="M20" s="86" t="s">
        <v>250</v>
      </c>
      <c r="N20" s="189" t="s">
        <v>251</v>
      </c>
    </row>
    <row r="21" spans="1:14" ht="15" customHeight="1">
      <c r="A21" s="290" t="s">
        <v>314</v>
      </c>
      <c r="B21" s="190" t="s">
        <v>12</v>
      </c>
      <c r="C21" s="226" t="s">
        <v>108</v>
      </c>
      <c r="D21" s="246" t="s">
        <v>108</v>
      </c>
      <c r="E21" s="246" t="s">
        <v>108</v>
      </c>
      <c r="F21" s="190" t="s">
        <v>108</v>
      </c>
      <c r="G21" s="647"/>
      <c r="H21" s="649"/>
      <c r="I21" s="649"/>
      <c r="J21" s="648"/>
      <c r="K21" s="247" t="str">
        <f>IF(ISNUMBER($G21),$G21/SUM($G21:$J21),"")</f>
        <v/>
      </c>
      <c r="L21" s="250" t="str">
        <f>IF(ISNUMBER($H21),$H21/SUM($G21:$J21),"")</f>
        <v/>
      </c>
      <c r="M21" s="250" t="str">
        <f>IF(ISNUMBER($I21),$I21/SUM($G21:$J21),"")</f>
        <v/>
      </c>
      <c r="N21" s="283" t="str">
        <f>IF(ISNUMBER($J21),$J21/SUM($G21:$J21),"")</f>
        <v/>
      </c>
    </row>
    <row r="22" spans="1:14" ht="15" customHeight="1">
      <c r="A22" s="286" t="s">
        <v>315</v>
      </c>
      <c r="B22" s="84" t="s">
        <v>12</v>
      </c>
      <c r="C22" s="227"/>
      <c r="D22" s="228" t="s">
        <v>108</v>
      </c>
      <c r="E22" s="228" t="s">
        <v>108</v>
      </c>
      <c r="F22" s="84" t="s">
        <v>108</v>
      </c>
      <c r="G22" s="650">
        <v>0</v>
      </c>
      <c r="H22" s="651"/>
      <c r="I22" s="651"/>
      <c r="J22" s="652"/>
      <c r="K22" s="248" t="e">
        <f t="shared" ref="K22:K32" si="2">IF(ISNUMBER($G22),$G22/SUM($G22:$J22),"")</f>
        <v>#DIV/0!</v>
      </c>
      <c r="L22" s="251" t="str">
        <f t="shared" ref="L22:L32" si="3">IF(ISNUMBER($H22),$H22/SUM($G22:$J22),"")</f>
        <v/>
      </c>
      <c r="M22" s="251" t="str">
        <f t="shared" ref="M22:M32" si="4">IF(ISNUMBER($I22),$I22/SUM($G22:$J22),"")</f>
        <v/>
      </c>
      <c r="N22" s="284" t="str">
        <f t="shared" ref="N22:N32" si="5">IF(ISNUMBER($J22),$J22/SUM($G22:$J22),"")</f>
        <v/>
      </c>
    </row>
    <row r="23" spans="1:14" ht="15" customHeight="1">
      <c r="A23" s="286" t="s">
        <v>316</v>
      </c>
      <c r="B23" s="84" t="s">
        <v>12</v>
      </c>
      <c r="C23" s="227"/>
      <c r="D23" s="228"/>
      <c r="E23" s="228" t="s">
        <v>108</v>
      </c>
      <c r="F23" s="84" t="s">
        <v>108</v>
      </c>
      <c r="G23" s="650">
        <v>0</v>
      </c>
      <c r="H23" s="651">
        <v>0</v>
      </c>
      <c r="I23" s="651"/>
      <c r="J23" s="652"/>
      <c r="K23" s="248" t="e">
        <f t="shared" si="2"/>
        <v>#DIV/0!</v>
      </c>
      <c r="L23" s="251" t="e">
        <f t="shared" si="3"/>
        <v>#DIV/0!</v>
      </c>
      <c r="M23" s="251" t="str">
        <f t="shared" si="4"/>
        <v/>
      </c>
      <c r="N23" s="284" t="str">
        <f t="shared" si="5"/>
        <v/>
      </c>
    </row>
    <row r="24" spans="1:14" ht="15" customHeight="1">
      <c r="A24" s="286" t="s">
        <v>317</v>
      </c>
      <c r="B24" s="84" t="s">
        <v>12</v>
      </c>
      <c r="C24" s="227"/>
      <c r="D24" s="228"/>
      <c r="E24" s="228"/>
      <c r="F24" s="84" t="s">
        <v>108</v>
      </c>
      <c r="G24" s="650">
        <v>0</v>
      </c>
      <c r="H24" s="651">
        <v>0</v>
      </c>
      <c r="I24" s="651">
        <v>0</v>
      </c>
      <c r="J24" s="652"/>
      <c r="K24" s="248" t="e">
        <f t="shared" si="2"/>
        <v>#DIV/0!</v>
      </c>
      <c r="L24" s="251" t="e">
        <f t="shared" si="3"/>
        <v>#DIV/0!</v>
      </c>
      <c r="M24" s="251" t="e">
        <f t="shared" si="4"/>
        <v>#DIV/0!</v>
      </c>
      <c r="N24" s="284" t="str">
        <f t="shared" si="5"/>
        <v/>
      </c>
    </row>
    <row r="25" spans="1:14" ht="15" customHeight="1">
      <c r="A25" s="286" t="s">
        <v>14</v>
      </c>
      <c r="B25" s="84" t="s">
        <v>14</v>
      </c>
      <c r="C25" s="227" t="s">
        <v>108</v>
      </c>
      <c r="D25" s="228" t="s">
        <v>108</v>
      </c>
      <c r="E25" s="228" t="s">
        <v>108</v>
      </c>
      <c r="F25" s="84" t="s">
        <v>108</v>
      </c>
      <c r="G25" s="235">
        <f>REKENVOLUMES!$E$28</f>
        <v>0</v>
      </c>
      <c r="H25" s="236">
        <f>REKENVOLUMES!$H$28-(1-FACTOR_DOORVOER)*REKENVOLUMES!$K$28</f>
        <v>0</v>
      </c>
      <c r="I25" s="236">
        <f>REKENVOLUMES!$L$28</f>
        <v>0</v>
      </c>
      <c r="J25" s="128">
        <f>REKENVOLUMES!$N$28-(1-FACTOR_DOORVOER)*(REKENVOLUMES!$P$28+REKENVOLUMES!$R$28)</f>
        <v>0</v>
      </c>
      <c r="K25" s="248" t="e">
        <f t="shared" si="2"/>
        <v>#DIV/0!</v>
      </c>
      <c r="L25" s="251" t="e">
        <f t="shared" si="3"/>
        <v>#DIV/0!</v>
      </c>
      <c r="M25" s="251" t="e">
        <f t="shared" si="4"/>
        <v>#DIV/0!</v>
      </c>
      <c r="N25" s="284" t="e">
        <f t="shared" si="5"/>
        <v>#DIV/0!</v>
      </c>
    </row>
    <row r="26" spans="1:14" ht="15" customHeight="1">
      <c r="A26" s="286" t="s">
        <v>158</v>
      </c>
      <c r="B26" s="84" t="s">
        <v>14</v>
      </c>
      <c r="C26" s="227"/>
      <c r="D26" s="228" t="s">
        <v>108</v>
      </c>
      <c r="E26" s="228" t="s">
        <v>108</v>
      </c>
      <c r="F26" s="84" t="s">
        <v>108</v>
      </c>
      <c r="G26" s="235">
        <v>0</v>
      </c>
      <c r="H26" s="236">
        <f>REKENVOLUMES!$H$28-(1-FACTOR_DOORVOER)*REKENVOLUMES!$K$28</f>
        <v>0</v>
      </c>
      <c r="I26" s="236">
        <f>REKENVOLUMES!$L$28</f>
        <v>0</v>
      </c>
      <c r="J26" s="128">
        <f>REKENVOLUMES!$N$28-(1-FACTOR_DOORVOER)*(REKENVOLUMES!$P$28+REKENVOLUMES!$R$28)</f>
        <v>0</v>
      </c>
      <c r="K26" s="248" t="e">
        <f t="shared" si="2"/>
        <v>#DIV/0!</v>
      </c>
      <c r="L26" s="251" t="e">
        <f t="shared" si="3"/>
        <v>#DIV/0!</v>
      </c>
      <c r="M26" s="251" t="e">
        <f t="shared" si="4"/>
        <v>#DIV/0!</v>
      </c>
      <c r="N26" s="284" t="e">
        <f t="shared" si="5"/>
        <v>#DIV/0!</v>
      </c>
    </row>
    <row r="27" spans="1:14" ht="15" customHeight="1">
      <c r="A27" s="286" t="s">
        <v>124</v>
      </c>
      <c r="B27" s="84"/>
      <c r="C27" s="227" t="s">
        <v>108</v>
      </c>
      <c r="D27" s="228" t="s">
        <v>108</v>
      </c>
      <c r="E27" s="228" t="s">
        <v>108</v>
      </c>
      <c r="F27" s="84" t="s">
        <v>108</v>
      </c>
      <c r="G27" s="235">
        <f>INDEX(Rekenvolumes[Afnameklanten op TRHS (∑)],1)</f>
        <v>0</v>
      </c>
      <c r="H27" s="236">
        <f>INDEX(Rekenvolumes[Afnameklanten op MS (∑)],1)-(1-FACTOR_DOORVOER)*INDEX(Rekenvolumes[Doorvoer op 26-1kV],1)</f>
        <v>0</v>
      </c>
      <c r="I27" s="236">
        <f>INDEX(Rekenvolumes[Afnameklanten op TRLS (∑)],1)</f>
        <v>0</v>
      </c>
      <c r="J27" s="128">
        <f>INDEX(Rekenvolumes[Afnameklanten op LS (∑)],1)-(1-FACTOR_DOORVOER)*(INDEX(Rekenvolumes[Doorvoer op LS met piekmeting],1)+INDEX(Rekenvolumes[Doorvoer op LS zonder piekmeting],1))</f>
        <v>0</v>
      </c>
      <c r="K27" s="248" t="e">
        <f t="shared" si="2"/>
        <v>#DIV/0!</v>
      </c>
      <c r="L27" s="251" t="e">
        <f t="shared" si="3"/>
        <v>#DIV/0!</v>
      </c>
      <c r="M27" s="251" t="e">
        <f t="shared" si="4"/>
        <v>#DIV/0!</v>
      </c>
      <c r="N27" s="284" t="e">
        <f t="shared" si="5"/>
        <v>#DIV/0!</v>
      </c>
    </row>
    <row r="28" spans="1:14" ht="15" customHeight="1">
      <c r="A28" s="286" t="s">
        <v>27</v>
      </c>
      <c r="B28" s="84" t="s">
        <v>16</v>
      </c>
      <c r="C28" s="227" t="s">
        <v>108</v>
      </c>
      <c r="D28" s="228" t="s">
        <v>108</v>
      </c>
      <c r="E28" s="228" t="s">
        <v>108</v>
      </c>
      <c r="F28" s="84" t="s">
        <v>108</v>
      </c>
      <c r="G28" s="235" t="e">
        <f>'T2'!$M$93</f>
        <v>#DIV/0!</v>
      </c>
      <c r="H28" s="236" t="e">
        <f>'T2'!$N$93</f>
        <v>#VALUE!</v>
      </c>
      <c r="I28" s="236" t="e">
        <f>'T2'!$O$93</f>
        <v>#VALUE!</v>
      </c>
      <c r="J28" s="128" t="e">
        <f>'T2'!$P$93</f>
        <v>#VALUE!</v>
      </c>
      <c r="K28" s="248" t="str">
        <f>IF(ISNUMBER($G28),$G28/SUM($G28:$J28),"")</f>
        <v/>
      </c>
      <c r="L28" s="251" t="str">
        <f t="shared" si="3"/>
        <v/>
      </c>
      <c r="M28" s="251" t="str">
        <f t="shared" si="4"/>
        <v/>
      </c>
      <c r="N28" s="284" t="str">
        <f t="shared" si="5"/>
        <v/>
      </c>
    </row>
    <row r="29" spans="1:14" ht="15" customHeight="1">
      <c r="A29" s="286" t="s">
        <v>83</v>
      </c>
      <c r="B29" s="84" t="s">
        <v>16</v>
      </c>
      <c r="C29" s="227" t="s">
        <v>108</v>
      </c>
      <c r="D29" s="228" t="s">
        <v>108</v>
      </c>
      <c r="E29" s="228" t="s">
        <v>108</v>
      </c>
      <c r="F29" s="84" t="s">
        <v>108</v>
      </c>
      <c r="G29" s="235" t="e">
        <f>'T2'!$M$94</f>
        <v>#DIV/0!</v>
      </c>
      <c r="H29" s="236" t="e">
        <f>'T2'!$N$94</f>
        <v>#VALUE!</v>
      </c>
      <c r="I29" s="236" t="e">
        <f>'T2'!$O$94</f>
        <v>#VALUE!</v>
      </c>
      <c r="J29" s="128" t="e">
        <f>'T2'!$P$94</f>
        <v>#VALUE!</v>
      </c>
      <c r="K29" s="248" t="str">
        <f t="shared" si="2"/>
        <v/>
      </c>
      <c r="L29" s="251" t="str">
        <f t="shared" si="3"/>
        <v/>
      </c>
      <c r="M29" s="251" t="str">
        <f t="shared" si="4"/>
        <v/>
      </c>
      <c r="N29" s="284" t="str">
        <f t="shared" si="5"/>
        <v/>
      </c>
    </row>
    <row r="30" spans="1:14" ht="15" customHeight="1">
      <c r="A30" s="286" t="s">
        <v>18</v>
      </c>
      <c r="B30" s="84" t="s">
        <v>16</v>
      </c>
      <c r="C30" s="227" t="s">
        <v>108</v>
      </c>
      <c r="D30" s="228" t="s">
        <v>108</v>
      </c>
      <c r="E30" s="228" t="s">
        <v>108</v>
      </c>
      <c r="F30" s="84" t="s">
        <v>108</v>
      </c>
      <c r="G30" s="235" t="e">
        <f>'T2'!$M$97</f>
        <v>#VALUE!</v>
      </c>
      <c r="H30" s="236" t="e">
        <f>'T2'!$N$97</f>
        <v>#VALUE!</v>
      </c>
      <c r="I30" s="236" t="e">
        <f>'T2'!$O$97</f>
        <v>#VALUE!</v>
      </c>
      <c r="J30" s="128" t="e">
        <f>'T2'!$P$97</f>
        <v>#VALUE!</v>
      </c>
      <c r="K30" s="248" t="str">
        <f>IF(ISNUMBER($G30),$G30/SUM($G30:$J30),"")</f>
        <v/>
      </c>
      <c r="L30" s="251" t="str">
        <f>IF(ISNUMBER($H30),$H30/SUM($G30:$J30),"")</f>
        <v/>
      </c>
      <c r="M30" s="251" t="str">
        <f>IF(ISNUMBER($I30),$I30/SUM($G30:$J30),"")</f>
        <v/>
      </c>
      <c r="N30" s="284" t="str">
        <f>IF(ISNUMBER($J30),$J30/SUM($G30:$J30),"")</f>
        <v/>
      </c>
    </row>
    <row r="31" spans="1:14" ht="15" customHeight="1">
      <c r="A31" s="286" t="s">
        <v>229</v>
      </c>
      <c r="B31" s="84" t="s">
        <v>16</v>
      </c>
      <c r="C31" s="227" t="s">
        <v>108</v>
      </c>
      <c r="D31" s="228" t="s">
        <v>108</v>
      </c>
      <c r="E31" s="228" t="s">
        <v>108</v>
      </c>
      <c r="F31" s="84" t="s">
        <v>108</v>
      </c>
      <c r="G31" s="235" t="e">
        <f>'T2'!$M$95</f>
        <v>#VALUE!</v>
      </c>
      <c r="H31" s="236" t="e">
        <f>'T2'!$N$95</f>
        <v>#VALUE!</v>
      </c>
      <c r="I31" s="236" t="e">
        <f>'T2'!$O$95</f>
        <v>#VALUE!</v>
      </c>
      <c r="J31" s="128" t="e">
        <f>'T2'!$P$95</f>
        <v>#VALUE!</v>
      </c>
      <c r="K31" s="248" t="str">
        <f t="shared" si="2"/>
        <v/>
      </c>
      <c r="L31" s="251" t="str">
        <f t="shared" si="3"/>
        <v/>
      </c>
      <c r="M31" s="251" t="str">
        <f t="shared" si="4"/>
        <v/>
      </c>
      <c r="N31" s="284" t="str">
        <f t="shared" si="5"/>
        <v/>
      </c>
    </row>
    <row r="32" spans="1:14" ht="15" customHeight="1">
      <c r="A32" s="286" t="s">
        <v>230</v>
      </c>
      <c r="B32" s="84"/>
      <c r="C32" s="227"/>
      <c r="D32" s="228"/>
      <c r="E32" s="228"/>
      <c r="F32" s="84" t="s">
        <v>108</v>
      </c>
      <c r="G32" s="235">
        <v>0</v>
      </c>
      <c r="H32" s="236">
        <v>0</v>
      </c>
      <c r="I32" s="236">
        <v>0</v>
      </c>
      <c r="J32" s="128">
        <v>1</v>
      </c>
      <c r="K32" s="248">
        <f t="shared" si="2"/>
        <v>0</v>
      </c>
      <c r="L32" s="251">
        <f t="shared" si="3"/>
        <v>0</v>
      </c>
      <c r="M32" s="251">
        <f t="shared" si="4"/>
        <v>0</v>
      </c>
      <c r="N32" s="284">
        <f t="shared" si="5"/>
        <v>1</v>
      </c>
    </row>
    <row r="33" spans="1:18" ht="15" customHeight="1">
      <c r="A33" s="286" t="s">
        <v>258</v>
      </c>
      <c r="B33" s="84" t="s">
        <v>20</v>
      </c>
      <c r="C33" s="227" t="s">
        <v>108</v>
      </c>
      <c r="D33" s="228" t="s">
        <v>108</v>
      </c>
      <c r="E33" s="228" t="s">
        <v>108</v>
      </c>
      <c r="F33" s="84" t="s">
        <v>108</v>
      </c>
      <c r="G33" s="248" t="e">
        <f>75%*$K$27+25%*$K$25</f>
        <v>#DIV/0!</v>
      </c>
      <c r="H33" s="366" t="e">
        <f>75%*$L$27+25%*$L$25</f>
        <v>#DIV/0!</v>
      </c>
      <c r="I33" s="366" t="e">
        <f>75%*$M$27+25%*$M$25</f>
        <v>#DIV/0!</v>
      </c>
      <c r="J33" s="367" t="e">
        <f>75%*$N$27+25%*$N$25</f>
        <v>#DIV/0!</v>
      </c>
      <c r="K33" s="248" t="str">
        <f>IF(ISNUMBER($G33),MIN($G33/SUM($G33:$J33),(1+MAXTOENAME_TRHS)*B2020_ODV_TRHS/'T2'!$K$96),"")</f>
        <v/>
      </c>
      <c r="L33" s="251" t="str">
        <f>IF(ISNUMBER($H33),(1-$K33)*$H33/SUM($H33:$J33),"")</f>
        <v/>
      </c>
      <c r="M33" s="251" t="str">
        <f>IF(ISNUMBER($I33),(1-$K33)*$I33/SUM($H33:$J33),"")</f>
        <v/>
      </c>
      <c r="N33" s="284" t="str">
        <f>IF(ISNUMBER($J33),(1-$K33)*$J33/SUM($H33:$J33),"")</f>
        <v/>
      </c>
    </row>
    <row r="34" spans="1:18" ht="15" customHeight="1">
      <c r="A34" s="286" t="s">
        <v>259</v>
      </c>
      <c r="B34" s="84" t="s">
        <v>20</v>
      </c>
      <c r="C34" s="227" t="s">
        <v>108</v>
      </c>
      <c r="D34" s="228" t="s">
        <v>108</v>
      </c>
      <c r="E34" s="228" t="s">
        <v>108</v>
      </c>
      <c r="F34" s="84" t="s">
        <v>108</v>
      </c>
      <c r="G34" s="259" t="e">
        <f>75%*$K$27+25%*$K$25</f>
        <v>#DIV/0!</v>
      </c>
      <c r="H34" s="366" t="e">
        <f>75%*$L$27+25%*$L$25</f>
        <v>#DIV/0!</v>
      </c>
      <c r="I34" s="366" t="e">
        <f>75%*$M$27+25%*$M$25</f>
        <v>#DIV/0!</v>
      </c>
      <c r="J34" s="367" t="e">
        <f>75%*$N$27+25%*$N$25</f>
        <v>#DIV/0!</v>
      </c>
      <c r="K34" s="248" t="str">
        <f>IF(ISNUMBER($G34),MIN($G34/SUM($G34:$J34),(1+MAXTOENAME_TRHS)*B2020_TOE_TRHS/'T2'!$K$98),"")</f>
        <v/>
      </c>
      <c r="L34" s="251" t="str">
        <f>IF(ISNUMBER($H34),(1-$K34)*$H34/SUM($H34:$J34),"")</f>
        <v/>
      </c>
      <c r="M34" s="251" t="str">
        <f>IF(ISNUMBER($I34),(1-$K34)*$I34/SUM($H34:$J34),"")</f>
        <v/>
      </c>
      <c r="N34" s="284" t="str">
        <f>IF(ISNUMBER($J34),(1-$K34)*$J34/SUM($H34:$J34),"")</f>
        <v/>
      </c>
    </row>
    <row r="35" spans="1:18" ht="15" customHeight="1">
      <c r="A35" s="286" t="s">
        <v>15</v>
      </c>
      <c r="B35" s="653"/>
      <c r="C35" s="227" t="s">
        <v>108</v>
      </c>
      <c r="D35" s="228" t="s">
        <v>108</v>
      </c>
      <c r="E35" s="228" t="s">
        <v>108</v>
      </c>
      <c r="F35" s="84" t="s">
        <v>108</v>
      </c>
      <c r="G35" s="650"/>
      <c r="H35" s="651"/>
      <c r="I35" s="651"/>
      <c r="J35" s="652"/>
      <c r="K35" s="248" t="str">
        <f>IF(ISNUMBER($G35),$G35/SUM($G35:$J35),"")</f>
        <v/>
      </c>
      <c r="L35" s="251" t="str">
        <f>IF(ISNUMBER($H35),$H35/SUM($G35:$J35),"")</f>
        <v/>
      </c>
      <c r="M35" s="251" t="str">
        <f>IF(ISNUMBER($I35),$I35/SUM($G35:$J35),"")</f>
        <v/>
      </c>
      <c r="N35" s="284" t="str">
        <f>IF(ISNUMBER($J35),$J35/SUM($G35:$J35),"")</f>
        <v/>
      </c>
    </row>
    <row r="36" spans="1:18" ht="15" customHeight="1">
      <c r="A36" s="286" t="s">
        <v>335</v>
      </c>
      <c r="B36" s="653"/>
      <c r="C36" s="227" t="s">
        <v>108</v>
      </c>
      <c r="D36" s="228" t="s">
        <v>108</v>
      </c>
      <c r="E36" s="228" t="s">
        <v>108</v>
      </c>
      <c r="F36" s="84"/>
      <c r="G36" s="650"/>
      <c r="H36" s="651"/>
      <c r="I36" s="651"/>
      <c r="J36" s="652">
        <v>0</v>
      </c>
      <c r="K36" s="248" t="str">
        <f>IF(ISNUMBER($G36),$G36/SUM($G36:$J36),"")</f>
        <v/>
      </c>
      <c r="L36" s="251" t="str">
        <f>IF(ISNUMBER($H36),$H36/SUM($G36:$J36),"")</f>
        <v/>
      </c>
      <c r="M36" s="251" t="str">
        <f>IF(ISNUMBER($I36),$I36/SUM($G36:$J36),"")</f>
        <v/>
      </c>
      <c r="N36" s="284" t="e">
        <f>IF(ISNUMBER($J36),$J36/SUM($G36:$J36),"")</f>
        <v>#DIV/0!</v>
      </c>
    </row>
    <row r="37" spans="1:18" ht="15" customHeight="1">
      <c r="A37" s="286" t="s">
        <v>84</v>
      </c>
      <c r="B37" s="653"/>
      <c r="C37" s="227" t="s">
        <v>108</v>
      </c>
      <c r="D37" s="228" t="s">
        <v>108</v>
      </c>
      <c r="E37" s="228" t="s">
        <v>108</v>
      </c>
      <c r="F37" s="84" t="s">
        <v>108</v>
      </c>
      <c r="G37" s="650"/>
      <c r="H37" s="651"/>
      <c r="I37" s="651"/>
      <c r="J37" s="652"/>
      <c r="K37" s="248" t="str">
        <f>IF(ISNUMBER($G37),$G37/SUM($G37:$J37),"")</f>
        <v/>
      </c>
      <c r="L37" s="251" t="str">
        <f>IF(ISNUMBER($H37),$H37/SUM($G37:$J37),"")</f>
        <v/>
      </c>
      <c r="M37" s="251" t="str">
        <f>IF(ISNUMBER($I37),$I37/SUM($G37:$J37),"")</f>
        <v/>
      </c>
      <c r="N37" s="284" t="str">
        <f>IF(ISNUMBER($J37),$J37/SUM($G37:$J37),"")</f>
        <v/>
      </c>
    </row>
    <row r="38" spans="1:18" ht="15" customHeight="1">
      <c r="A38" s="654"/>
      <c r="B38" s="653"/>
      <c r="C38" s="655"/>
      <c r="D38" s="656"/>
      <c r="E38" s="656"/>
      <c r="F38" s="657"/>
      <c r="G38" s="650"/>
      <c r="H38" s="651"/>
      <c r="I38" s="651"/>
      <c r="J38" s="652"/>
      <c r="K38" s="671" t="str">
        <f>IF(ISNUMBER($G38),$G38/SUM($G38:$J38),"")</f>
        <v/>
      </c>
      <c r="L38" s="672" t="str">
        <f>IF(ISNUMBER($H38),$H38/SUM($G38:$J38),"")</f>
        <v/>
      </c>
      <c r="M38" s="672" t="str">
        <f t="shared" ref="M38:M40" si="6">IF(ISNUMBER($I38),$I38/SUM($G38:$J38),"")</f>
        <v/>
      </c>
      <c r="N38" s="673" t="str">
        <f t="shared" ref="N38:N40" si="7">IF(ISNUMBER($J38),$J38/SUM($G38:$J38),"")</f>
        <v/>
      </c>
    </row>
    <row r="39" spans="1:18" ht="15" customHeight="1">
      <c r="A39" s="654"/>
      <c r="B39" s="653"/>
      <c r="C39" s="655"/>
      <c r="D39" s="656"/>
      <c r="E39" s="656"/>
      <c r="F39" s="657"/>
      <c r="G39" s="650"/>
      <c r="H39" s="651"/>
      <c r="I39" s="651"/>
      <c r="J39" s="652"/>
      <c r="K39" s="671" t="str">
        <f t="shared" ref="K39:K40" si="8">IF(ISNUMBER($G39),$G39/SUM($G39:$J39),"")</f>
        <v/>
      </c>
      <c r="L39" s="672" t="str">
        <f t="shared" ref="L39:L40" si="9">IF(ISNUMBER($H39),$H39/SUM($G39:$J39),"")</f>
        <v/>
      </c>
      <c r="M39" s="672" t="str">
        <f t="shared" si="6"/>
        <v/>
      </c>
      <c r="N39" s="673" t="str">
        <f t="shared" si="7"/>
        <v/>
      </c>
    </row>
    <row r="40" spans="1:18" ht="15" customHeight="1" thickBot="1">
      <c r="A40" s="641"/>
      <c r="B40" s="644"/>
      <c r="C40" s="658"/>
      <c r="D40" s="659"/>
      <c r="E40" s="659"/>
      <c r="F40" s="642"/>
      <c r="G40" s="645"/>
      <c r="H40" s="660"/>
      <c r="I40" s="660"/>
      <c r="J40" s="646"/>
      <c r="K40" s="669" t="str">
        <f t="shared" si="8"/>
        <v/>
      </c>
      <c r="L40" s="674" t="str">
        <f t="shared" si="9"/>
        <v/>
      </c>
      <c r="M40" s="674" t="str">
        <f t="shared" si="6"/>
        <v/>
      </c>
      <c r="N40" s="670" t="str">
        <f t="shared" si="7"/>
        <v/>
      </c>
    </row>
    <row r="43" spans="1:18" ht="15" customHeight="1" thickBot="1"/>
    <row r="44" spans="1:18" ht="15" customHeight="1">
      <c r="A44" s="78"/>
      <c r="B44" s="131"/>
      <c r="C44" s="1431" t="s">
        <v>107</v>
      </c>
      <c r="D44" s="1432"/>
      <c r="E44" s="1423" t="s">
        <v>173</v>
      </c>
      <c r="F44" s="1423"/>
      <c r="G44" s="1423" t="s">
        <v>106</v>
      </c>
      <c r="H44" s="1424"/>
      <c r="I44" s="1223"/>
      <c r="J44" s="1223"/>
      <c r="K44" s="1223"/>
      <c r="L44" s="295"/>
      <c r="M44" s="295"/>
      <c r="N44" s="295"/>
      <c r="O44" s="296"/>
      <c r="P44" s="296"/>
      <c r="R44" s="229"/>
    </row>
    <row r="45" spans="1:18" ht="30" customHeight="1" thickBot="1">
      <c r="A45" s="299" t="s">
        <v>100</v>
      </c>
      <c r="B45" s="231" t="s">
        <v>17</v>
      </c>
      <c r="C45" s="230" t="s">
        <v>354</v>
      </c>
      <c r="D45" s="231" t="s">
        <v>553</v>
      </c>
      <c r="E45" s="230" t="s">
        <v>355</v>
      </c>
      <c r="F45" s="231" t="s">
        <v>552</v>
      </c>
      <c r="G45" s="230" t="s">
        <v>356</v>
      </c>
      <c r="H45" s="1235" t="s">
        <v>554</v>
      </c>
    </row>
    <row r="46" spans="1:18" ht="15" customHeight="1">
      <c r="A46" s="301" t="s">
        <v>318</v>
      </c>
      <c r="B46" s="310" t="s">
        <v>12</v>
      </c>
      <c r="C46" s="226" t="s">
        <v>108</v>
      </c>
      <c r="D46" s="310" t="s">
        <v>108</v>
      </c>
      <c r="E46" s="232">
        <f>INDEX(Rekenvolumes[Afnameklanten op LS met piekmeting],11)+FACTOR_DOORVOER*INDEX(Rekenvolumes[Doorvoer op LS met piekmeting],11)</f>
        <v>0</v>
      </c>
      <c r="F46" s="234">
        <f>INDEX(Rekenvolumes[Afnameklanten op LS met klassieke meter],11)+FACTOR_DOORVOER*INDEX(Rekenvolumes[Doorvoer op LS zonder piekmeting],11)+INDEX(Rekenvolumes[Prosumenten met terugdraaiende teller op LS],11)</f>
        <v>0</v>
      </c>
      <c r="G46" s="232" t="e">
        <f t="shared" ref="G46:G54" si="10">IF(ISNUMBER($E46),$E46/SUM($E46:$F46),"")</f>
        <v>#DIV/0!</v>
      </c>
      <c r="H46" s="297" t="e">
        <f t="shared" ref="H46:H54" si="11">IF(ISNUMBER($F46),$F46/SUM($E46:$F46),"")</f>
        <v>#DIV/0!</v>
      </c>
      <c r="I46" s="591" t="s">
        <v>122</v>
      </c>
    </row>
    <row r="47" spans="1:18" ht="15" customHeight="1">
      <c r="A47" s="286" t="s">
        <v>14</v>
      </c>
      <c r="B47" s="311" t="s">
        <v>14</v>
      </c>
      <c r="C47" s="227" t="s">
        <v>108</v>
      </c>
      <c r="D47" s="311" t="s">
        <v>108</v>
      </c>
      <c r="E47" s="235">
        <f>REKENVOLUMES!$O$28+FACTOR_DOORVOER*REKENVOLUMES!$P$28</f>
        <v>0</v>
      </c>
      <c r="F47" s="128">
        <f>REKENVOLUMES!$Q$28+FACTOR_DOORVOER*REKENVOLUMES!$R$28+REKENVOLUMES!$S$28</f>
        <v>0</v>
      </c>
      <c r="G47" s="235" t="e">
        <f t="shared" si="10"/>
        <v>#DIV/0!</v>
      </c>
      <c r="H47" s="298" t="e">
        <f t="shared" si="11"/>
        <v>#DIV/0!</v>
      </c>
    </row>
    <row r="48" spans="1:18" ht="15" customHeight="1">
      <c r="A48" s="286" t="s">
        <v>27</v>
      </c>
      <c r="B48" s="311" t="s">
        <v>16</v>
      </c>
      <c r="C48" s="227" t="s">
        <v>108</v>
      </c>
      <c r="D48" s="311" t="s">
        <v>108</v>
      </c>
      <c r="E48" s="235" t="e">
        <f>'T2'!$Q$93</f>
        <v>#DIV/0!</v>
      </c>
      <c r="F48" s="128" t="e">
        <f>'T2'!$R$93</f>
        <v>#DIV/0!</v>
      </c>
      <c r="G48" s="235" t="str">
        <f t="shared" si="10"/>
        <v/>
      </c>
      <c r="H48" s="298" t="str">
        <f t="shared" si="11"/>
        <v/>
      </c>
    </row>
    <row r="49" spans="1:8" ht="15" customHeight="1">
      <c r="A49" s="286" t="s">
        <v>83</v>
      </c>
      <c r="B49" s="311" t="s">
        <v>16</v>
      </c>
      <c r="C49" s="227" t="s">
        <v>108</v>
      </c>
      <c r="D49" s="311" t="s">
        <v>108</v>
      </c>
      <c r="E49" s="235" t="e">
        <f>'T2'!$Q$94</f>
        <v>#DIV/0!</v>
      </c>
      <c r="F49" s="128" t="e">
        <f>'T2'!$R$94</f>
        <v>#DIV/0!</v>
      </c>
      <c r="G49" s="235" t="str">
        <f t="shared" si="10"/>
        <v/>
      </c>
      <c r="H49" s="298" t="str">
        <f t="shared" si="11"/>
        <v/>
      </c>
    </row>
    <row r="50" spans="1:8" ht="15" customHeight="1">
      <c r="A50" s="286" t="s">
        <v>229</v>
      </c>
      <c r="B50" s="311" t="s">
        <v>16</v>
      </c>
      <c r="C50" s="227" t="s">
        <v>108</v>
      </c>
      <c r="D50" s="311" t="s">
        <v>108</v>
      </c>
      <c r="E50" s="235" t="e">
        <f>'T2'!$Q$95</f>
        <v>#VALUE!</v>
      </c>
      <c r="F50" s="128" t="e">
        <f>'T2'!$R$95</f>
        <v>#VALUE!</v>
      </c>
      <c r="G50" s="235" t="str">
        <f t="shared" si="10"/>
        <v/>
      </c>
      <c r="H50" s="298" t="str">
        <f t="shared" si="11"/>
        <v/>
      </c>
    </row>
    <row r="51" spans="1:8" ht="15" customHeight="1">
      <c r="A51" s="286" t="s">
        <v>84</v>
      </c>
      <c r="B51" s="661"/>
      <c r="C51" s="227" t="s">
        <v>108</v>
      </c>
      <c r="D51" s="311" t="s">
        <v>108</v>
      </c>
      <c r="E51" s="650"/>
      <c r="F51" s="652"/>
      <c r="G51" s="235" t="str">
        <f t="shared" si="10"/>
        <v/>
      </c>
      <c r="H51" s="298" t="str">
        <f t="shared" si="11"/>
        <v/>
      </c>
    </row>
    <row r="52" spans="1:8" ht="15" customHeight="1">
      <c r="A52" s="654"/>
      <c r="B52" s="661"/>
      <c r="C52" s="662"/>
      <c r="D52" s="661"/>
      <c r="E52" s="650"/>
      <c r="F52" s="652"/>
      <c r="G52" s="650" t="str">
        <f t="shared" si="10"/>
        <v/>
      </c>
      <c r="H52" s="663" t="str">
        <f t="shared" si="11"/>
        <v/>
      </c>
    </row>
    <row r="53" spans="1:8" ht="15" customHeight="1">
      <c r="A53" s="654"/>
      <c r="B53" s="661"/>
      <c r="C53" s="662"/>
      <c r="D53" s="661"/>
      <c r="E53" s="650"/>
      <c r="F53" s="652"/>
      <c r="G53" s="650" t="str">
        <f t="shared" si="10"/>
        <v/>
      </c>
      <c r="H53" s="663" t="str">
        <f t="shared" si="11"/>
        <v/>
      </c>
    </row>
    <row r="54" spans="1:8" ht="15" customHeight="1" thickBot="1">
      <c r="A54" s="641"/>
      <c r="B54" s="664"/>
      <c r="C54" s="665"/>
      <c r="D54" s="664"/>
      <c r="E54" s="645"/>
      <c r="F54" s="646"/>
      <c r="G54" s="645" t="str">
        <f t="shared" si="10"/>
        <v/>
      </c>
      <c r="H54" s="666" t="str">
        <f t="shared" si="11"/>
        <v/>
      </c>
    </row>
  </sheetData>
  <sheetProtection algorithmName="SHA-512" hashValue="mD7mrLBUA5Esg9vK4c5+p2KfrZpEyIB0p6e45M0407lEL+bNVaDHyJZoa35hZSssHIhj2BEF4KDlTqZ0P/rO/g==" saltValue="f2fLr4PU2kJ4oLTLjc2YKg==" spinCount="100000" sheet="1" objects="1" scenarios="1" insertRows="0" sort="0" autoFilter="0"/>
  <mergeCells count="11">
    <mergeCell ref="G44:H44"/>
    <mergeCell ref="A1:N1"/>
    <mergeCell ref="D4:F4"/>
    <mergeCell ref="K19:N19"/>
    <mergeCell ref="C7:D7"/>
    <mergeCell ref="E7:F7"/>
    <mergeCell ref="G7:H7"/>
    <mergeCell ref="C19:F19"/>
    <mergeCell ref="G19:J19"/>
    <mergeCell ref="C44:D44"/>
    <mergeCell ref="E44:F44"/>
  </mergeCells>
  <conditionalFormatting sqref="K21:K29 E9:E15 G9:G15 G32:G40 K31:K40">
    <cfRule type="expression" dxfId="274" priority="52">
      <formula>$C9&lt;&gt;"x"</formula>
    </cfRule>
  </conditionalFormatting>
  <conditionalFormatting sqref="L21:L29 F9:F15 H9:H15 H32:H40 L31:L40">
    <cfRule type="expression" dxfId="273" priority="51">
      <formula>$D9&lt;&gt;"x"</formula>
    </cfRule>
  </conditionalFormatting>
  <conditionalFormatting sqref="G21:G26 G28">
    <cfRule type="expression" dxfId="272" priority="50">
      <formula>$C21&lt;&gt;"x"</formula>
    </cfRule>
  </conditionalFormatting>
  <conditionalFormatting sqref="H21:H25 H28">
    <cfRule type="expression" dxfId="271" priority="49">
      <formula>$D21&lt;&gt;"x"</formula>
    </cfRule>
  </conditionalFormatting>
  <conditionalFormatting sqref="I21:I25 M21:M29 I28 I32:I40 M31:M40">
    <cfRule type="expression" dxfId="270" priority="48">
      <formula>$E21&lt;&gt;"x"</formula>
    </cfRule>
  </conditionalFormatting>
  <conditionalFormatting sqref="J21:J25 N21:N29 J28 J32:J40 N31:N40">
    <cfRule type="expression" dxfId="269" priority="47">
      <formula>$F21&lt;&gt;"x"</formula>
    </cfRule>
  </conditionalFormatting>
  <conditionalFormatting sqref="G27">
    <cfRule type="expression" dxfId="268" priority="30">
      <formula>$C27&lt;&gt;"x"</formula>
    </cfRule>
  </conditionalFormatting>
  <conditionalFormatting sqref="H27">
    <cfRule type="expression" dxfId="267" priority="29">
      <formula>$D27&lt;&gt;"x"</formula>
    </cfRule>
  </conditionalFormatting>
  <conditionalFormatting sqref="I27">
    <cfRule type="expression" dxfId="266" priority="28">
      <formula>$E27&lt;&gt;"x"</formula>
    </cfRule>
  </conditionalFormatting>
  <conditionalFormatting sqref="J27">
    <cfRule type="expression" dxfId="265" priority="27">
      <formula>$F27&lt;&gt;"x"</formula>
    </cfRule>
  </conditionalFormatting>
  <conditionalFormatting sqref="E46:E54 G46:G54">
    <cfRule type="expression" dxfId="264" priority="26">
      <formula>$C46=""</formula>
    </cfRule>
  </conditionalFormatting>
  <conditionalFormatting sqref="F46:F54 H46:H54">
    <cfRule type="expression" dxfId="263" priority="25">
      <formula>$D46=""</formula>
    </cfRule>
  </conditionalFormatting>
  <conditionalFormatting sqref="G29">
    <cfRule type="expression" dxfId="262" priority="23">
      <formula>$C29&lt;&gt;"x"</formula>
    </cfRule>
  </conditionalFormatting>
  <conditionalFormatting sqref="H29">
    <cfRule type="expression" dxfId="261" priority="22">
      <formula>$D29&lt;&gt;"x"</formula>
    </cfRule>
  </conditionalFormatting>
  <conditionalFormatting sqref="I29">
    <cfRule type="expression" dxfId="260" priority="21">
      <formula>$E29&lt;&gt;"x"</formula>
    </cfRule>
  </conditionalFormatting>
  <conditionalFormatting sqref="J29">
    <cfRule type="expression" dxfId="259" priority="20">
      <formula>$F29&lt;&gt;"x"</formula>
    </cfRule>
  </conditionalFormatting>
  <conditionalFormatting sqref="G31">
    <cfRule type="expression" dxfId="258" priority="19">
      <formula>$C31&lt;&gt;"x"</formula>
    </cfRule>
  </conditionalFormatting>
  <conditionalFormatting sqref="H31">
    <cfRule type="expression" dxfId="257" priority="18">
      <formula>$D31&lt;&gt;"x"</formula>
    </cfRule>
  </conditionalFormatting>
  <conditionalFormatting sqref="I31">
    <cfRule type="expression" dxfId="256" priority="17">
      <formula>$E31&lt;&gt;"x"</formula>
    </cfRule>
  </conditionalFormatting>
  <conditionalFormatting sqref="J31">
    <cfRule type="expression" dxfId="255" priority="16">
      <formula>$F31&lt;&gt;"x"</formula>
    </cfRule>
  </conditionalFormatting>
  <conditionalFormatting sqref="N30">
    <cfRule type="expression" dxfId="254" priority="4">
      <formula>$F30&lt;&gt;"x"</formula>
    </cfRule>
  </conditionalFormatting>
  <conditionalFormatting sqref="G30">
    <cfRule type="expression" dxfId="253" priority="11">
      <formula>$C30&lt;&gt;"x"</formula>
    </cfRule>
  </conditionalFormatting>
  <conditionalFormatting sqref="H30">
    <cfRule type="expression" dxfId="252" priority="10">
      <formula>$D30&lt;&gt;"x"</formula>
    </cfRule>
  </conditionalFormatting>
  <conditionalFormatting sqref="I30">
    <cfRule type="expression" dxfId="251" priority="9">
      <formula>$E30&lt;&gt;"x"</formula>
    </cfRule>
  </conditionalFormatting>
  <conditionalFormatting sqref="J30">
    <cfRule type="expression" dxfId="250" priority="8">
      <formula>$F30&lt;&gt;"x"</formula>
    </cfRule>
  </conditionalFormatting>
  <conditionalFormatting sqref="K30">
    <cfRule type="expression" dxfId="249" priority="7">
      <formula>$C30&lt;&gt;"x"</formula>
    </cfRule>
  </conditionalFormatting>
  <conditionalFormatting sqref="L30">
    <cfRule type="expression" dxfId="248" priority="6">
      <formula>$D30&lt;&gt;"x"</formula>
    </cfRule>
  </conditionalFormatting>
  <conditionalFormatting sqref="M30">
    <cfRule type="expression" dxfId="247" priority="5">
      <formula>$E30&lt;&gt;"x"</formula>
    </cfRule>
  </conditionalFormatting>
  <conditionalFormatting sqref="H26">
    <cfRule type="expression" dxfId="246" priority="3">
      <formula>$D26&lt;&gt;"x"</formula>
    </cfRule>
  </conditionalFormatting>
  <conditionalFormatting sqref="I26">
    <cfRule type="expression" dxfId="245" priority="2">
      <formula>$E26&lt;&gt;"x"</formula>
    </cfRule>
  </conditionalFormatting>
  <conditionalFormatting sqref="J26">
    <cfRule type="expression" dxfId="244" priority="1">
      <formula>$F26&lt;&gt;"x"</formula>
    </cfRule>
  </conditionalFormatting>
  <dataValidations count="2">
    <dataValidation type="list" allowBlank="1" showInputMessage="1" showErrorMessage="1" sqref="C46:D54 C21:F40" xr:uid="{4EF72244-3EB8-4A9E-8978-B74DF6AD8183}">
      <formula1>"x"</formula1>
    </dataValidation>
    <dataValidation type="list" allowBlank="1" showInputMessage="1" showErrorMessage="1" sqref="C9:D15" xr:uid="{00000000-0002-0000-0200-000000000000}">
      <formula1>"x,"</formula1>
    </dataValidation>
  </dataValidations>
  <pageMargins left="0.7" right="0.7" top="0.75" bottom="0.75" header="0.3" footer="0.3"/>
  <pageSetup paperSize="9" orientation="portrait" r:id="rId1"/>
  <ignoredErrors>
    <ignoredError sqref="K22:N27 K38:N40 C52:D54 C46:D47 K31:N32 L28:N28 K29:N29 L21:N21" calculatedColumn="1"/>
  </ignoredErrors>
  <tableParts count="3">
    <tablePart r:id="rId2"/>
    <tablePart r:id="rId3"/>
    <tablePart r:id="rId4"/>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ublished="0" codeName="Blad17"/>
  <dimension ref="A1:AB29"/>
  <sheetViews>
    <sheetView zoomScaleNormal="100" workbookViewId="0">
      <selection activeCell="D4" sqref="D4:H4"/>
    </sheetView>
  </sheetViews>
  <sheetFormatPr defaultColWidth="10.7109375" defaultRowHeight="15" customHeight="1" outlineLevelCol="1"/>
  <cols>
    <col min="1" max="1" width="30.7109375" style="675" customWidth="1"/>
    <col min="2" max="5" width="15.7109375" style="675" customWidth="1"/>
    <col min="6" max="7" width="15.7109375" style="675" customWidth="1" outlineLevel="1"/>
    <col min="8" max="8" width="15.7109375" style="675" customWidth="1"/>
    <col min="9" max="11" width="15.7109375" style="675" customWidth="1" outlineLevel="1"/>
    <col min="12" max="12" width="15.7109375" style="675" customWidth="1"/>
    <col min="13" max="13" width="15.7109375" style="675" customWidth="1" outlineLevel="1"/>
    <col min="14" max="14" width="15.7109375" style="675" customWidth="1"/>
    <col min="15" max="19" width="15.7109375" style="675" customWidth="1" outlineLevel="1"/>
    <col min="20" max="20" width="15.7109375" style="675" customWidth="1"/>
    <col min="21" max="25" width="15.7109375" style="675" customWidth="1" outlineLevel="1"/>
    <col min="26" max="26" width="15.7109375" style="675" customWidth="1"/>
    <col min="27" max="27" width="5.7109375" style="675" customWidth="1"/>
    <col min="28" max="28" width="10.7109375" style="675" customWidth="1"/>
    <col min="29" max="16384" width="10.7109375" style="675"/>
  </cols>
  <sheetData>
    <row r="1" spans="1:26" ht="30" customHeight="1" thickBot="1">
      <c r="A1" s="1414" t="s">
        <v>174</v>
      </c>
      <c r="B1" s="1415"/>
      <c r="C1" s="1415"/>
      <c r="D1" s="1416"/>
      <c r="E1" s="1416"/>
      <c r="F1" s="1415"/>
      <c r="G1" s="1415"/>
      <c r="H1" s="1416"/>
      <c r="I1" s="1415"/>
      <c r="J1" s="1415"/>
      <c r="K1" s="1415"/>
      <c r="L1" s="1416"/>
      <c r="M1" s="1415"/>
      <c r="N1" s="1416"/>
      <c r="O1" s="1415"/>
      <c r="P1" s="1415"/>
      <c r="Q1" s="1415"/>
      <c r="R1" s="1415"/>
      <c r="S1" s="1415"/>
      <c r="T1" s="1415"/>
      <c r="U1" s="1416"/>
      <c r="V1" s="1415"/>
      <c r="W1" s="1416"/>
      <c r="X1" s="1415"/>
      <c r="Y1" s="1415"/>
      <c r="Z1" s="1417"/>
    </row>
    <row r="3" spans="1:26" ht="15" customHeight="1" thickBot="1"/>
    <row r="4" spans="1:26" ht="15" customHeight="1" thickBot="1">
      <c r="B4" s="129" t="s">
        <v>6</v>
      </c>
      <c r="D4" s="1434" t="str">
        <f>DNB</f>
        <v>Naam distributienetbeheerder</v>
      </c>
      <c r="E4" s="1435"/>
      <c r="F4" s="1435"/>
      <c r="G4" s="1435"/>
      <c r="H4" s="1436"/>
    </row>
    <row r="5" spans="1:26" ht="15" customHeight="1">
      <c r="B5" s="676"/>
    </row>
    <row r="6" spans="1:26" ht="15" customHeight="1" thickBot="1"/>
    <row r="7" spans="1:26" ht="61.5" customHeight="1" thickBot="1">
      <c r="A7" s="677" t="s">
        <v>125</v>
      </c>
      <c r="B7" s="677" t="s">
        <v>122</v>
      </c>
      <c r="C7" s="678" t="s">
        <v>123</v>
      </c>
      <c r="D7" s="679" t="s">
        <v>279</v>
      </c>
      <c r="E7" s="680" t="s">
        <v>308</v>
      </c>
      <c r="F7" s="681" t="s">
        <v>102</v>
      </c>
      <c r="G7" s="682" t="s">
        <v>132</v>
      </c>
      <c r="H7" s="680" t="s">
        <v>309</v>
      </c>
      <c r="I7" s="681" t="s">
        <v>133</v>
      </c>
      <c r="J7" s="681" t="s">
        <v>269</v>
      </c>
      <c r="K7" s="682" t="s">
        <v>270</v>
      </c>
      <c r="L7" s="680" t="s">
        <v>277</v>
      </c>
      <c r="M7" s="681" t="s">
        <v>103</v>
      </c>
      <c r="N7" s="680" t="s">
        <v>310</v>
      </c>
      <c r="O7" s="681" t="s">
        <v>119</v>
      </c>
      <c r="P7" s="681" t="s">
        <v>547</v>
      </c>
      <c r="Q7" s="681" t="s">
        <v>120</v>
      </c>
      <c r="R7" s="681" t="s">
        <v>548</v>
      </c>
      <c r="S7" s="682" t="s">
        <v>121</v>
      </c>
      <c r="T7" s="678" t="s">
        <v>278</v>
      </c>
      <c r="U7" s="683" t="s">
        <v>209</v>
      </c>
      <c r="V7" s="678" t="s">
        <v>267</v>
      </c>
      <c r="W7" s="678" t="s">
        <v>271</v>
      </c>
      <c r="X7" s="678" t="s">
        <v>104</v>
      </c>
      <c r="Y7" s="684" t="s">
        <v>105</v>
      </c>
    </row>
    <row r="8" spans="1:26" s="691" customFormat="1" ht="15" customHeight="1">
      <c r="A8" s="685" t="s">
        <v>124</v>
      </c>
      <c r="B8" s="686">
        <v>1</v>
      </c>
      <c r="C8" s="687">
        <f>SUM(Rekenvolumes[[#This Row],[Afnameklanten (∑)]],Rekenvolumes[[#This Row],[Injectieklanten (∑)]])</f>
        <v>0</v>
      </c>
      <c r="D8" s="688">
        <f>SUM(Rekenvolumes[[#This Row],[Afnameklanten op TRHS (∑)]],Rekenvolumes[[#This Row],[Afnameklanten op MS (∑)]],Rekenvolumes[[#This Row],[Afnameklanten op TRLS (∑)]],Rekenvolumes[[#This Row],[Afnameklanten op LS (∑)]])</f>
        <v>0</v>
      </c>
      <c r="E8" s="689">
        <f>SUM(Rekenvolumes[[#This Row],[Afnameklanten op TRHS]:[Afnameklanten op &gt;26-36 kV met AV ≥ 5MVA]])</f>
        <v>0</v>
      </c>
      <c r="F8" s="741"/>
      <c r="G8" s="742"/>
      <c r="H8" s="690">
        <f>SUM(Rekenvolumes[[#This Row],[Afnameklanten op &gt;26-36 kV met AV &lt; 5MVA]:[Doorvoer op 26-1kV]])</f>
        <v>0</v>
      </c>
      <c r="I8" s="741"/>
      <c r="J8" s="741"/>
      <c r="K8" s="742"/>
      <c r="L8" s="690">
        <f>SUM(Rekenvolumes[[#This Row],[Afnameklanten op TRLS]])</f>
        <v>0</v>
      </c>
      <c r="M8" s="741"/>
      <c r="N8" s="690">
        <f>SUM(Rekenvolumes[[#This Row],[Afnameklanten op LS met piekmeting]:[Prosumenten met terugdraaiende teller op LS]])</f>
        <v>0</v>
      </c>
      <c r="O8" s="741"/>
      <c r="P8" s="741"/>
      <c r="Q8" s="741"/>
      <c r="R8" s="741"/>
      <c r="S8" s="1262"/>
      <c r="T8" s="1240"/>
      <c r="U8" s="753"/>
      <c r="V8" s="753"/>
      <c r="W8" s="753"/>
      <c r="X8" s="753"/>
      <c r="Y8" s="754"/>
    </row>
    <row r="9" spans="1:26" s="691" customFormat="1" ht="15" customHeight="1">
      <c r="A9" s="692" t="s">
        <v>7</v>
      </c>
      <c r="B9" s="693">
        <v>2</v>
      </c>
      <c r="C9" s="694">
        <f>SUM(Rekenvolumes[[#This Row],[Afnameklanten (∑)]],Rekenvolumes[[#This Row],[Injectieklanten (∑)]])</f>
        <v>0</v>
      </c>
      <c r="D9" s="695">
        <f>SUM(Rekenvolumes[[#This Row],[Afnameklanten op TRHS (∑)]],Rekenvolumes[[#This Row],[Afnameklanten op MS (∑)]],Rekenvolumes[[#This Row],[Afnameklanten op TRLS (∑)]],Rekenvolumes[[#This Row],[Afnameklanten op LS (∑)]])</f>
        <v>0</v>
      </c>
      <c r="E9" s="696">
        <f>SUM(Rekenvolumes[[#This Row],[Afnameklanten op TRHS]:[Afnameklanten op &gt;26-36 kV met AV ≥ 5MVA]])</f>
        <v>0</v>
      </c>
      <c r="F9" s="743"/>
      <c r="G9" s="744"/>
      <c r="H9" s="697">
        <f>SUM(Rekenvolumes[[#This Row],[Afnameklanten op &gt;26-36 kV met AV &lt; 5MVA]:[Doorvoer op 26-1kV]])</f>
        <v>0</v>
      </c>
      <c r="I9" s="743"/>
      <c r="J9" s="743"/>
      <c r="K9" s="744"/>
      <c r="L9" s="697">
        <f>SUM(Rekenvolumes[[#This Row],[Afnameklanten op TRLS]])</f>
        <v>0</v>
      </c>
      <c r="M9" s="743"/>
      <c r="N9" s="697">
        <f>SUM(Rekenvolumes[[#This Row],[Afnameklanten op LS met piekmeting]:[Prosumenten met terugdraaiende teller op LS]])</f>
        <v>0</v>
      </c>
      <c r="O9" s="743"/>
      <c r="P9" s="743"/>
      <c r="Q9" s="743"/>
      <c r="R9" s="743"/>
      <c r="S9" s="746"/>
      <c r="T9" s="1241"/>
      <c r="U9" s="755"/>
      <c r="V9" s="755"/>
      <c r="W9" s="755"/>
      <c r="X9" s="755"/>
      <c r="Y9" s="756"/>
    </row>
    <row r="10" spans="1:26" s="691" customFormat="1" ht="15" customHeight="1">
      <c r="A10" s="698" t="s">
        <v>8</v>
      </c>
      <c r="B10" s="699">
        <v>3</v>
      </c>
      <c r="C10" s="694">
        <f>SUM(Rekenvolumes[[#This Row],[Afnameklanten (∑)]],Rekenvolumes[[#This Row],[Injectieklanten (∑)]])</f>
        <v>0</v>
      </c>
      <c r="D10" s="695">
        <f>SUM(Rekenvolumes[[#This Row],[Afnameklanten op TRHS (∑)]],Rekenvolumes[[#This Row],[Afnameklanten op MS (∑)]],Rekenvolumes[[#This Row],[Afnameklanten op TRLS (∑)]],Rekenvolumes[[#This Row],[Afnameklanten op LS (∑)]])</f>
        <v>0</v>
      </c>
      <c r="E10" s="696">
        <f>SUM(Rekenvolumes[[#This Row],[Afnameklanten op TRHS]:[Afnameklanten op &gt;26-36 kV met AV ≥ 5MVA]])</f>
        <v>0</v>
      </c>
      <c r="F10" s="743"/>
      <c r="G10" s="744"/>
      <c r="H10" s="697">
        <f>SUM(Rekenvolumes[[#This Row],[Afnameklanten op &gt;26-36 kV met AV &lt; 5MVA]:[Doorvoer op 26-1kV]])</f>
        <v>0</v>
      </c>
      <c r="I10" s="743"/>
      <c r="J10" s="743"/>
      <c r="K10" s="744"/>
      <c r="L10" s="697">
        <f>SUM(Rekenvolumes[[#This Row],[Afnameklanten op TRLS]])</f>
        <v>0</v>
      </c>
      <c r="M10" s="743"/>
      <c r="N10" s="697">
        <f>SUM(Rekenvolumes[[#This Row],[Afnameklanten op LS met piekmeting]:[Prosumenten met terugdraaiende teller op LS]])</f>
        <v>0</v>
      </c>
      <c r="O10" s="743"/>
      <c r="P10" s="743"/>
      <c r="Q10" s="743"/>
      <c r="R10" s="743"/>
      <c r="S10" s="746"/>
      <c r="T10" s="1241"/>
      <c r="U10" s="755"/>
      <c r="V10" s="755"/>
      <c r="W10" s="755"/>
      <c r="X10" s="755"/>
      <c r="Y10" s="756"/>
    </row>
    <row r="11" spans="1:26" s="691" customFormat="1" ht="15" customHeight="1">
      <c r="A11" s="692" t="s">
        <v>127</v>
      </c>
      <c r="B11" s="693">
        <v>4</v>
      </c>
      <c r="C11" s="694">
        <f>SUM(Rekenvolumes[[#This Row],[Afnameklanten (∑)]],Rekenvolumes[[#This Row],[Injectieklanten (∑)]])</f>
        <v>0</v>
      </c>
      <c r="D11" s="695">
        <f>SUM(Rekenvolumes[[#This Row],[Afnameklanten op TRHS (∑)]],Rekenvolumes[[#This Row],[Afnameklanten op MS (∑)]],Rekenvolumes[[#This Row],[Afnameklanten op TRLS (∑)]],Rekenvolumes[[#This Row],[Afnameklanten op LS (∑)]])</f>
        <v>0</v>
      </c>
      <c r="E11" s="700"/>
      <c r="F11" s="745"/>
      <c r="G11" s="746"/>
      <c r="H11" s="701"/>
      <c r="I11" s="745"/>
      <c r="J11" s="745"/>
      <c r="K11" s="746"/>
      <c r="L11" s="701"/>
      <c r="M11" s="745"/>
      <c r="N11" s="697">
        <f>SUM(Rekenvolumes[[#This Row],[Afnameklanten op LS met piekmeting]:[Prosumenten met terugdraaiende teller op LS]])</f>
        <v>0</v>
      </c>
      <c r="O11" s="743"/>
      <c r="P11" s="743"/>
      <c r="Q11" s="743"/>
      <c r="R11" s="743"/>
      <c r="S11" s="746"/>
      <c r="T11" s="1241"/>
      <c r="U11" s="755"/>
      <c r="V11" s="755"/>
      <c r="W11" s="755"/>
      <c r="X11" s="755"/>
      <c r="Y11" s="756"/>
    </row>
    <row r="12" spans="1:26" s="691" customFormat="1" ht="15" customHeight="1">
      <c r="A12" s="692" t="s">
        <v>128</v>
      </c>
      <c r="B12" s="693">
        <v>5</v>
      </c>
      <c r="C12" s="694">
        <f>SUM(Rekenvolumes[[#This Row],[Afnameklanten (∑)]],Rekenvolumes[[#This Row],[Injectieklanten (∑)]])</f>
        <v>0</v>
      </c>
      <c r="D12" s="695">
        <f>SUM(Rekenvolumes[[#This Row],[Afnameklanten op TRHS (∑)]],Rekenvolumes[[#This Row],[Afnameklanten op MS (∑)]],Rekenvolumes[[#This Row],[Afnameklanten op TRLS (∑)]],Rekenvolumes[[#This Row],[Afnameklanten op LS (∑)]])</f>
        <v>0</v>
      </c>
      <c r="E12" s="700"/>
      <c r="F12" s="745"/>
      <c r="G12" s="746"/>
      <c r="H12" s="701"/>
      <c r="I12" s="745"/>
      <c r="J12" s="745"/>
      <c r="K12" s="746"/>
      <c r="L12" s="701"/>
      <c r="M12" s="745"/>
      <c r="N12" s="697">
        <f>SUM(Rekenvolumes[[#This Row],[Afnameklanten op LS met piekmeting]:[Prosumenten met terugdraaiende teller op LS]])</f>
        <v>0</v>
      </c>
      <c r="O12" s="743"/>
      <c r="P12" s="743"/>
      <c r="Q12" s="743"/>
      <c r="R12" s="743"/>
      <c r="S12" s="746"/>
      <c r="T12" s="1241"/>
      <c r="U12" s="755"/>
      <c r="V12" s="755"/>
      <c r="W12" s="755"/>
      <c r="X12" s="755"/>
      <c r="Y12" s="756"/>
    </row>
    <row r="13" spans="1:26" s="691" customFormat="1" ht="15" customHeight="1">
      <c r="A13" s="692" t="s">
        <v>129</v>
      </c>
      <c r="B13" s="693">
        <v>6</v>
      </c>
      <c r="C13" s="694">
        <f>SUM(Rekenvolumes[[#This Row],[Afnameklanten (∑)]],Rekenvolumes[[#This Row],[Injectieklanten (∑)]])</f>
        <v>0</v>
      </c>
      <c r="D13" s="695">
        <f>SUM(Rekenvolumes[[#This Row],[Afnameklanten op TRHS (∑)]],Rekenvolumes[[#This Row],[Afnameklanten op MS (∑)]],Rekenvolumes[[#This Row],[Afnameklanten op TRLS (∑)]],Rekenvolumes[[#This Row],[Afnameklanten op LS (∑)]])</f>
        <v>0</v>
      </c>
      <c r="E13" s="700"/>
      <c r="F13" s="745"/>
      <c r="G13" s="746"/>
      <c r="H13" s="701"/>
      <c r="I13" s="745"/>
      <c r="J13" s="745"/>
      <c r="K13" s="746"/>
      <c r="L13" s="701"/>
      <c r="M13" s="745"/>
      <c r="N13" s="697">
        <f>SUM(Rekenvolumes[[#This Row],[Afnameklanten op LS met piekmeting]:[Prosumenten met terugdraaiende teller op LS]])</f>
        <v>0</v>
      </c>
      <c r="O13" s="745"/>
      <c r="P13" s="745"/>
      <c r="Q13" s="743"/>
      <c r="R13" s="743"/>
      <c r="S13" s="746"/>
      <c r="T13" s="1241"/>
      <c r="U13" s="755"/>
      <c r="V13" s="755"/>
      <c r="W13" s="755"/>
      <c r="X13" s="755"/>
      <c r="Y13" s="756"/>
    </row>
    <row r="14" spans="1:26" s="691" customFormat="1" ht="15" customHeight="1">
      <c r="A14" s="692" t="s">
        <v>126</v>
      </c>
      <c r="B14" s="693">
        <v>7</v>
      </c>
      <c r="C14" s="694">
        <f>SUM(Rekenvolumes[[#This Row],[Afnameklanten (∑)]],Rekenvolumes[[#This Row],[Injectieklanten (∑)]])</f>
        <v>0</v>
      </c>
      <c r="D14" s="695">
        <f>SUM(Rekenvolumes[[#This Row],[Afnameklanten op TRHS (∑)]],Rekenvolumes[[#This Row],[Afnameklanten op MS (∑)]],Rekenvolumes[[#This Row],[Afnameklanten op TRLS (∑)]],Rekenvolumes[[#This Row],[Afnameklanten op LS (∑)]])</f>
        <v>0</v>
      </c>
      <c r="E14" s="700"/>
      <c r="F14" s="745"/>
      <c r="G14" s="746"/>
      <c r="H14" s="701"/>
      <c r="I14" s="745"/>
      <c r="J14" s="745"/>
      <c r="K14" s="746"/>
      <c r="L14" s="701"/>
      <c r="M14" s="745"/>
      <c r="N14" s="701"/>
      <c r="O14" s="745"/>
      <c r="P14" s="745"/>
      <c r="Q14" s="745"/>
      <c r="R14" s="745"/>
      <c r="S14" s="746"/>
      <c r="T14" s="1242">
        <f>SUM(Rekenvolumes[[#This Row],[Injectieklanten op TRHS]:[Injectieklanten op LS]])</f>
        <v>0</v>
      </c>
      <c r="U14" s="757"/>
      <c r="V14" s="757"/>
      <c r="W14" s="757"/>
      <c r="X14" s="757"/>
      <c r="Y14" s="758"/>
    </row>
    <row r="15" spans="1:26" ht="15" customHeight="1">
      <c r="A15" s="702" t="s">
        <v>110</v>
      </c>
      <c r="B15" s="703">
        <v>8</v>
      </c>
      <c r="C15" s="704">
        <f>SUM(Rekenvolumes[[#This Row],[Afnameklanten (∑)]],Rekenvolumes[[#This Row],[Injectieklanten (∑)]])</f>
        <v>0</v>
      </c>
      <c r="D15" s="705">
        <f>SUM(Rekenvolumes[[#This Row],[Afnameklanten op TRHS (∑)]],Rekenvolumes[[#This Row],[Afnameklanten op MS (∑)]],Rekenvolumes[[#This Row],[Afnameklanten op TRLS (∑)]],Rekenvolumes[[#This Row],[Afnameklanten op LS (∑)]])</f>
        <v>0</v>
      </c>
      <c r="E15" s="706">
        <f>SUM(Rekenvolumes[[#This Row],[Afnameklanten op TRHS]:[Afnameklanten op &gt;26-36 kV met AV ≥ 5MVA]])</f>
        <v>0</v>
      </c>
      <c r="F15" s="747"/>
      <c r="G15" s="748"/>
      <c r="H15" s="706">
        <f>SUM(Rekenvolumes[[#This Row],[Afnameklanten op &gt;26-36 kV met AV &lt; 5MVA]:[Doorvoer op 26-1kV]])</f>
        <v>0</v>
      </c>
      <c r="I15" s="747"/>
      <c r="J15" s="747"/>
      <c r="K15" s="748"/>
      <c r="L15" s="706">
        <f>SUM(Rekenvolumes[[#This Row],[Afnameklanten op TRLS]])</f>
        <v>0</v>
      </c>
      <c r="M15" s="747"/>
      <c r="N15" s="701"/>
      <c r="O15" s="749"/>
      <c r="P15" s="749"/>
      <c r="Q15" s="749"/>
      <c r="R15" s="749"/>
      <c r="S15" s="750"/>
      <c r="T15" s="1243"/>
      <c r="U15" s="759"/>
      <c r="V15" s="759"/>
      <c r="W15" s="759"/>
      <c r="X15" s="759"/>
      <c r="Y15" s="760"/>
    </row>
    <row r="16" spans="1:26" ht="15" customHeight="1">
      <c r="A16" s="702" t="s">
        <v>111</v>
      </c>
      <c r="B16" s="703">
        <v>9</v>
      </c>
      <c r="C16" s="704">
        <f>SUM(Rekenvolumes[[#This Row],[Afnameklanten (∑)]],Rekenvolumes[[#This Row],[Injectieklanten (∑)]])</f>
        <v>0</v>
      </c>
      <c r="D16" s="705">
        <f>SUM(Rekenvolumes[[#This Row],[Afnameklanten op TRHS (∑)]],Rekenvolumes[[#This Row],[Afnameklanten op MS (∑)]],Rekenvolumes[[#This Row],[Afnameklanten op TRLS (∑)]],Rekenvolumes[[#This Row],[Afnameklanten op LS (∑)]])</f>
        <v>0</v>
      </c>
      <c r="E16" s="706">
        <f>SUM(Rekenvolumes[[#This Row],[Afnameklanten op TRHS]:[Afnameklanten op &gt;26-36 kV met AV ≥ 5MVA]])</f>
        <v>0</v>
      </c>
      <c r="F16" s="747"/>
      <c r="G16" s="748"/>
      <c r="H16" s="706">
        <f>SUM(Rekenvolumes[[#This Row],[Afnameklanten op &gt;26-36 kV met AV &lt; 5MVA]:[Doorvoer op 26-1kV]])</f>
        <v>0</v>
      </c>
      <c r="I16" s="747"/>
      <c r="J16" s="747"/>
      <c r="K16" s="748"/>
      <c r="L16" s="706">
        <f>SUM(Rekenvolumes[[#This Row],[Afnameklanten op TRLS]])</f>
        <v>0</v>
      </c>
      <c r="M16" s="747"/>
      <c r="N16" s="701"/>
      <c r="O16" s="749"/>
      <c r="P16" s="749"/>
      <c r="Q16" s="749"/>
      <c r="R16" s="749"/>
      <c r="S16" s="750"/>
      <c r="T16" s="1243"/>
      <c r="U16" s="759"/>
      <c r="V16" s="759"/>
      <c r="W16" s="759"/>
      <c r="X16" s="759"/>
      <c r="Y16" s="760"/>
    </row>
    <row r="17" spans="1:28" ht="15" customHeight="1">
      <c r="A17" s="702" t="s">
        <v>112</v>
      </c>
      <c r="B17" s="703">
        <v>10</v>
      </c>
      <c r="C17" s="704">
        <f>SUM(Rekenvolumes[[#This Row],[Afnameklanten (∑)]],Rekenvolumes[[#This Row],[Injectieklanten (∑)]])</f>
        <v>0</v>
      </c>
      <c r="D17" s="705">
        <f>SUM(Rekenvolumes[[#This Row],[Afnameklanten op TRHS (∑)]],Rekenvolumes[[#This Row],[Afnameklanten op MS (∑)]],Rekenvolumes[[#This Row],[Afnameklanten op TRLS (∑)]],Rekenvolumes[[#This Row],[Afnameklanten op LS (∑)]])</f>
        <v>0</v>
      </c>
      <c r="E17" s="706">
        <f>SUM(Rekenvolumes[[#This Row],[Afnameklanten op TRHS]:[Afnameklanten op &gt;26-36 kV met AV ≥ 5MVA]])</f>
        <v>0</v>
      </c>
      <c r="F17" s="747"/>
      <c r="G17" s="748"/>
      <c r="H17" s="706">
        <f>SUM(Rekenvolumes[[#This Row],[Afnameklanten op &gt;26-36 kV met AV &lt; 5MVA]:[Doorvoer op 26-1kV]])</f>
        <v>0</v>
      </c>
      <c r="I17" s="747"/>
      <c r="J17" s="747"/>
      <c r="K17" s="748"/>
      <c r="L17" s="706">
        <f>SUM(Rekenvolumes[[#This Row],[Afnameklanten op TRLS]])</f>
        <v>0</v>
      </c>
      <c r="M17" s="747"/>
      <c r="N17" s="701"/>
      <c r="O17" s="749"/>
      <c r="P17" s="749"/>
      <c r="Q17" s="749"/>
      <c r="R17" s="749"/>
      <c r="S17" s="750"/>
      <c r="T17" s="1243"/>
      <c r="U17" s="759"/>
      <c r="V17" s="759"/>
      <c r="W17" s="759"/>
      <c r="X17" s="759"/>
      <c r="Y17" s="760"/>
    </row>
    <row r="18" spans="1:28" ht="15" customHeight="1">
      <c r="A18" s="702" t="s">
        <v>113</v>
      </c>
      <c r="B18" s="703">
        <v>11</v>
      </c>
      <c r="C18" s="704">
        <f>SUM(Rekenvolumes[[#This Row],[Afnameklanten (∑)]],Rekenvolumes[[#This Row],[Injectieklanten (∑)]])</f>
        <v>0</v>
      </c>
      <c r="D18" s="705">
        <f>SUM(Rekenvolumes[[#This Row],[Afnameklanten op TRHS (∑)]],Rekenvolumes[[#This Row],[Afnameklanten op MS (∑)]],Rekenvolumes[[#This Row],[Afnameklanten op TRLS (∑)]],Rekenvolumes[[#This Row],[Afnameklanten op LS (∑)]])</f>
        <v>0</v>
      </c>
      <c r="E18" s="707"/>
      <c r="F18" s="749"/>
      <c r="G18" s="750"/>
      <c r="H18" s="707"/>
      <c r="I18" s="749"/>
      <c r="J18" s="749"/>
      <c r="K18" s="750"/>
      <c r="L18" s="707"/>
      <c r="M18" s="749"/>
      <c r="N18" s="706">
        <f>SUM(Rekenvolumes[[#This Row],[Afnameklanten op LS met piekmeting]:[Prosumenten met terugdraaiende teller op LS]])</f>
        <v>0</v>
      </c>
      <c r="O18" s="747"/>
      <c r="P18" s="747"/>
      <c r="Q18" s="766"/>
      <c r="R18" s="766"/>
      <c r="S18" s="1236"/>
      <c r="T18" s="1243"/>
      <c r="U18" s="759"/>
      <c r="V18" s="759"/>
      <c r="W18" s="759"/>
      <c r="X18" s="759"/>
      <c r="Y18" s="760"/>
    </row>
    <row r="19" spans="1:28" ht="15" customHeight="1">
      <c r="A19" s="702" t="s">
        <v>312</v>
      </c>
      <c r="B19" s="703">
        <v>12</v>
      </c>
      <c r="C19" s="704">
        <f>SUM(Rekenvolumes[[#This Row],[Afnameklanten (∑)]],Rekenvolumes[[#This Row],[Injectieklanten (∑)]])</f>
        <v>0</v>
      </c>
      <c r="D19" s="705">
        <f>SUM(Rekenvolumes[[#This Row],[Afnameklanten op TRHS (∑)]],Rekenvolumes[[#This Row],[Afnameklanten op MS (∑)]],Rekenvolumes[[#This Row],[Afnameklanten op TRLS (∑)]],Rekenvolumes[[#This Row],[Afnameklanten op LS (∑)]])</f>
        <v>0</v>
      </c>
      <c r="E19" s="706">
        <f>SUM(Rekenvolumes[[#This Row],[Afnameklanten op TRHS]:[Afnameklanten op &gt;26-36 kV met AV ≥ 5MVA]])</f>
        <v>0</v>
      </c>
      <c r="F19" s="747"/>
      <c r="G19" s="748"/>
      <c r="H19" s="706">
        <f>SUM(Rekenvolumes[[#This Row],[Afnameklanten op &gt;26-36 kV met AV &lt; 5MVA]:[Doorvoer op 26-1kV]])</f>
        <v>0</v>
      </c>
      <c r="I19" s="747"/>
      <c r="J19" s="747"/>
      <c r="K19" s="748"/>
      <c r="L19" s="706">
        <f>SUM(Rekenvolumes[[#This Row],[Afnameklanten op TRLS]])</f>
        <v>0</v>
      </c>
      <c r="M19" s="747"/>
      <c r="N19" s="706">
        <f>SUM(Rekenvolumes[[#This Row],[Afnameklanten op LS met piekmeting]:[Prosumenten met terugdraaiende teller op LS]])</f>
        <v>0</v>
      </c>
      <c r="O19" s="765"/>
      <c r="P19" s="747"/>
      <c r="Q19" s="747"/>
      <c r="R19" s="747"/>
      <c r="S19" s="1237">
        <f>$S$25/DIM_OMV*VOLLASTUREN*(1-ZELFCONSUMPTIE)</f>
        <v>0</v>
      </c>
      <c r="T19" s="1243"/>
      <c r="U19" s="759"/>
      <c r="V19" s="759"/>
      <c r="W19" s="759"/>
      <c r="X19" s="759"/>
      <c r="Y19" s="760"/>
    </row>
    <row r="20" spans="1:28" ht="15" customHeight="1">
      <c r="A20" s="702" t="s">
        <v>313</v>
      </c>
      <c r="B20" s="703">
        <v>13</v>
      </c>
      <c r="C20" s="704">
        <f>SUM(Rekenvolumes[[#This Row],[Afnameklanten (∑)]],Rekenvolumes[[#This Row],[Injectieklanten (∑)]])</f>
        <v>0</v>
      </c>
      <c r="D20" s="705">
        <f>SUM(Rekenvolumes[[#This Row],[Afnameklanten op TRHS (∑)]],Rekenvolumes[[#This Row],[Afnameklanten op MS (∑)]],Rekenvolumes[[#This Row],[Afnameklanten op TRLS (∑)]],Rekenvolumes[[#This Row],[Afnameklanten op LS (∑)]])</f>
        <v>0</v>
      </c>
      <c r="E20" s="706">
        <f>SUM(Rekenvolumes[[#This Row],[Afnameklanten op TRHS]:[Afnameklanten op &gt;26-36 kV met AV ≥ 5MVA]])</f>
        <v>0</v>
      </c>
      <c r="F20" s="747"/>
      <c r="G20" s="748"/>
      <c r="H20" s="706">
        <f>SUM(Rekenvolumes[[#This Row],[Afnameklanten op &gt;26-36 kV met AV &lt; 5MVA]:[Doorvoer op 26-1kV]])</f>
        <v>0</v>
      </c>
      <c r="I20" s="747"/>
      <c r="J20" s="747"/>
      <c r="K20" s="748"/>
      <c r="L20" s="706">
        <f>SUM(Rekenvolumes[[#This Row],[Afnameklanten op TRLS]])</f>
        <v>0</v>
      </c>
      <c r="M20" s="747"/>
      <c r="N20" s="706">
        <f>SUM(Rekenvolumes[[#This Row],[Afnameklanten op LS met piekmeting]:[Prosumenten met terugdraaiende teller op LS]])</f>
        <v>0</v>
      </c>
      <c r="O20" s="765"/>
      <c r="P20" s="747"/>
      <c r="Q20" s="747"/>
      <c r="R20" s="747"/>
      <c r="S20" s="1238"/>
      <c r="T20" s="1243"/>
      <c r="U20" s="759"/>
      <c r="V20" s="759"/>
      <c r="W20" s="759"/>
      <c r="X20" s="759"/>
      <c r="Y20" s="760"/>
    </row>
    <row r="21" spans="1:28" ht="15" customHeight="1">
      <c r="A21" s="702" t="s">
        <v>311</v>
      </c>
      <c r="B21" s="703">
        <v>14</v>
      </c>
      <c r="C21" s="704">
        <f>SUM(Rekenvolumes[[#This Row],[Afnameklanten (∑)]],Rekenvolumes[[#This Row],[Injectieklanten (∑)]])</f>
        <v>0</v>
      </c>
      <c r="D21" s="705">
        <f>SUM(Rekenvolumes[[#This Row],[Afnameklanten op TRHS (∑)]],Rekenvolumes[[#This Row],[Afnameklanten op MS (∑)]],Rekenvolumes[[#This Row],[Afnameklanten op TRLS (∑)]],Rekenvolumes[[#This Row],[Afnameklanten op LS (∑)]])</f>
        <v>0</v>
      </c>
      <c r="E21" s="707"/>
      <c r="F21" s="749"/>
      <c r="G21" s="750"/>
      <c r="H21" s="706">
        <f>SUM(Rekenvolumes[[#This Row],[Afnameklanten op &gt;26-36 kV met AV &lt; 5MVA]:[Doorvoer op 26-1kV]])</f>
        <v>0</v>
      </c>
      <c r="I21" s="749"/>
      <c r="J21" s="747"/>
      <c r="K21" s="750"/>
      <c r="L21" s="706">
        <f>SUM(Rekenvolumes[[#This Row],[Afnameklanten op TRLS]])</f>
        <v>0</v>
      </c>
      <c r="M21" s="747"/>
      <c r="N21" s="706">
        <f>SUM(Rekenvolumes[[#This Row],[Afnameklanten op LS met piekmeting]:[Prosumenten met terugdraaiende teller op LS]])</f>
        <v>0</v>
      </c>
      <c r="O21" s="765"/>
      <c r="P21" s="749"/>
      <c r="Q21" s="747"/>
      <c r="R21" s="747"/>
      <c r="S21" s="750"/>
      <c r="T21" s="1243"/>
      <c r="U21" s="759"/>
      <c r="V21" s="759"/>
      <c r="W21" s="759"/>
      <c r="X21" s="759"/>
      <c r="Y21" s="760"/>
    </row>
    <row r="22" spans="1:28" ht="15" customHeight="1">
      <c r="A22" s="702" t="s">
        <v>116</v>
      </c>
      <c r="B22" s="703">
        <v>15</v>
      </c>
      <c r="C22" s="704">
        <f>SUM(Rekenvolumes[[#This Row],[Afnameklanten (∑)]],Rekenvolumes[[#This Row],[Injectieklanten (∑)]])</f>
        <v>0</v>
      </c>
      <c r="D22" s="705">
        <f>SUM(Rekenvolumes[[#This Row],[Afnameklanten op TRHS (∑)]],Rekenvolumes[[#This Row],[Afnameklanten op MS (∑)]],Rekenvolumes[[#This Row],[Afnameklanten op TRLS (∑)]],Rekenvolumes[[#This Row],[Afnameklanten op LS (∑)]])</f>
        <v>0</v>
      </c>
      <c r="E22" s="707"/>
      <c r="F22" s="749"/>
      <c r="G22" s="750"/>
      <c r="H22" s="707"/>
      <c r="I22" s="749"/>
      <c r="J22" s="749"/>
      <c r="K22" s="750"/>
      <c r="L22" s="707"/>
      <c r="M22" s="749"/>
      <c r="N22" s="707"/>
      <c r="O22" s="749"/>
      <c r="P22" s="749"/>
      <c r="Q22" s="749"/>
      <c r="R22" s="749"/>
      <c r="S22" s="750"/>
      <c r="T22" s="704">
        <f>SUM(Rekenvolumes[[#This Row],[Injectieklanten op TRHS]:[Injectieklanten op LS]])</f>
        <v>0</v>
      </c>
      <c r="U22" s="761"/>
      <c r="V22" s="761"/>
      <c r="W22" s="761"/>
      <c r="X22" s="761"/>
      <c r="Y22" s="762"/>
    </row>
    <row r="23" spans="1:28" ht="15" customHeight="1">
      <c r="A23" s="702" t="s">
        <v>118</v>
      </c>
      <c r="B23" s="703">
        <v>16</v>
      </c>
      <c r="C23" s="704">
        <f>SUM(Rekenvolumes[[#This Row],[Afnameklanten (∑)]],Rekenvolumes[[#This Row],[Injectieklanten (∑)]])</f>
        <v>0</v>
      </c>
      <c r="D23" s="705">
        <f>SUM(Rekenvolumes[[#This Row],[Afnameklanten op TRHS (∑)]],Rekenvolumes[[#This Row],[Afnameklanten op MS (∑)]],Rekenvolumes[[#This Row],[Afnameklanten op TRLS (∑)]],Rekenvolumes[[#This Row],[Afnameklanten op LS (∑)]])</f>
        <v>0</v>
      </c>
      <c r="E23" s="706">
        <f>SUM(Rekenvolumes[[#This Row],[Afnameklanten op TRHS]:[Afnameklanten op &gt;26-36 kV met AV ≥ 5MVA]])</f>
        <v>0</v>
      </c>
      <c r="F23" s="747"/>
      <c r="G23" s="748"/>
      <c r="H23" s="706">
        <f>SUM(Rekenvolumes[[#This Row],[Afnameklanten op &gt;26-36 kV met AV &lt; 5MVA]:[Doorvoer op 26-1kV]])</f>
        <v>0</v>
      </c>
      <c r="I23" s="747"/>
      <c r="J23" s="747"/>
      <c r="K23" s="748"/>
      <c r="L23" s="706">
        <f>SUM(Rekenvolumes[[#This Row],[Afnameklanten op TRLS]])</f>
        <v>0</v>
      </c>
      <c r="M23" s="747"/>
      <c r="N23" s="707"/>
      <c r="O23" s="749"/>
      <c r="P23" s="749"/>
      <c r="Q23" s="749"/>
      <c r="R23" s="749"/>
      <c r="S23" s="750"/>
      <c r="T23" s="1243"/>
      <c r="U23" s="759"/>
      <c r="V23" s="759"/>
      <c r="W23" s="759"/>
      <c r="X23" s="759"/>
      <c r="Y23" s="760"/>
    </row>
    <row r="24" spans="1:28" ht="15" customHeight="1">
      <c r="A24" s="702" t="s">
        <v>117</v>
      </c>
      <c r="B24" s="703">
        <v>17</v>
      </c>
      <c r="C24" s="704">
        <f>SUM(Rekenvolumes[[#This Row],[Afnameklanten (∑)]],Rekenvolumes[[#This Row],[Injectieklanten (∑)]])</f>
        <v>0</v>
      </c>
      <c r="D24" s="705">
        <f>SUM(Rekenvolumes[[#This Row],[Afnameklanten op TRHS (∑)]],Rekenvolumes[[#This Row],[Afnameklanten op MS (∑)]],Rekenvolumes[[#This Row],[Afnameklanten op TRLS (∑)]],Rekenvolumes[[#This Row],[Afnameklanten op LS (∑)]])</f>
        <v>0</v>
      </c>
      <c r="E24" s="706">
        <f>SUM(Rekenvolumes[[#This Row],[Afnameklanten op TRHS]:[Afnameklanten op &gt;26-36 kV met AV ≥ 5MVA]])</f>
        <v>0</v>
      </c>
      <c r="F24" s="747"/>
      <c r="G24" s="748"/>
      <c r="H24" s="706">
        <f>SUM(Rekenvolumes[[#This Row],[Afnameklanten op &gt;26-36 kV met AV &lt; 5MVA]:[Doorvoer op 26-1kV]])</f>
        <v>0</v>
      </c>
      <c r="I24" s="747"/>
      <c r="J24" s="747"/>
      <c r="K24" s="748"/>
      <c r="L24" s="706">
        <f>SUM(Rekenvolumes[[#This Row],[Afnameklanten op TRLS]])</f>
        <v>0</v>
      </c>
      <c r="M24" s="747"/>
      <c r="N24" s="707"/>
      <c r="O24" s="749"/>
      <c r="P24" s="749"/>
      <c r="Q24" s="749"/>
      <c r="R24" s="749"/>
      <c r="S24" s="750"/>
      <c r="T24" s="1243"/>
      <c r="U24" s="759"/>
      <c r="V24" s="759"/>
      <c r="W24" s="759"/>
      <c r="X24" s="759"/>
      <c r="Y24" s="760"/>
    </row>
    <row r="25" spans="1:28" ht="15" customHeight="1">
      <c r="A25" s="708" t="s">
        <v>157</v>
      </c>
      <c r="B25" s="709">
        <v>18</v>
      </c>
      <c r="C25" s="710">
        <f>SUM(Rekenvolumes[[#This Row],[Afnameklanten (∑)]],Rekenvolumes[[#This Row],[Injectieklanten (∑)]])</f>
        <v>0</v>
      </c>
      <c r="D25" s="711">
        <f>SUM(Rekenvolumes[[#This Row],[Afnameklanten op TRHS (∑)]],Rekenvolumes[[#This Row],[Afnameklanten op MS (∑)]],Rekenvolumes[[#This Row],[Afnameklanten op TRLS (∑)]],Rekenvolumes[[#This Row],[Afnameklanten op LS (∑)]])</f>
        <v>0</v>
      </c>
      <c r="E25" s="712"/>
      <c r="F25" s="751"/>
      <c r="G25" s="752"/>
      <c r="H25" s="712"/>
      <c r="I25" s="751"/>
      <c r="J25" s="751"/>
      <c r="K25" s="752"/>
      <c r="L25" s="712"/>
      <c r="M25" s="751"/>
      <c r="N25" s="713">
        <f>SUM(Rekenvolumes[[#This Row],[Afnameklanten op LS met piekmeting]:[Prosumenten met terugdraaiende teller op LS]])</f>
        <v>0</v>
      </c>
      <c r="O25" s="751"/>
      <c r="P25" s="751"/>
      <c r="Q25" s="751"/>
      <c r="R25" s="751"/>
      <c r="S25" s="1239"/>
      <c r="T25" s="1244"/>
      <c r="U25" s="763"/>
      <c r="V25" s="763"/>
      <c r="W25" s="763"/>
      <c r="X25" s="763"/>
      <c r="Y25" s="764"/>
    </row>
    <row r="26" spans="1:28" ht="15" customHeight="1" thickBot="1">
      <c r="C26" s="714"/>
      <c r="D26" s="714"/>
      <c r="E26" s="714"/>
      <c r="F26" s="714"/>
      <c r="G26" s="714"/>
      <c r="H26" s="714"/>
      <c r="I26" s="714"/>
      <c r="J26" s="714"/>
      <c r="K26" s="714"/>
      <c r="L26" s="714"/>
      <c r="M26" s="714"/>
      <c r="N26" s="714"/>
      <c r="O26" s="714"/>
      <c r="P26" s="714"/>
      <c r="Q26" s="714"/>
      <c r="R26" s="714"/>
      <c r="S26" s="714"/>
      <c r="T26" s="714"/>
      <c r="U26" s="714"/>
      <c r="V26" s="714"/>
      <c r="W26" s="714"/>
      <c r="X26" s="714"/>
      <c r="Y26" s="714"/>
      <c r="Z26" s="714"/>
    </row>
    <row r="27" spans="1:28" ht="18" customHeight="1">
      <c r="A27" s="715" t="s">
        <v>193</v>
      </c>
      <c r="B27" s="716"/>
      <c r="C27" s="717">
        <f>SUM($D27,$T27)</f>
        <v>0</v>
      </c>
      <c r="D27" s="717">
        <f>SUM($E27,$H27,$L27,$N27)</f>
        <v>0</v>
      </c>
      <c r="E27" s="1245">
        <f>SUM($F27:$G27)</f>
        <v>0</v>
      </c>
      <c r="F27" s="718">
        <f>(1+FACTOR_MP_TV)*F$15+FACTOR_OST*F$17/12</f>
        <v>0</v>
      </c>
      <c r="G27" s="719">
        <f>(1+FACTOR_MP_TV)*G$15+FACTOR_OST*G$17/12</f>
        <v>0</v>
      </c>
      <c r="H27" s="1245">
        <f>SUM($I27:$K27)</f>
        <v>0</v>
      </c>
      <c r="I27" s="718">
        <f>(1+FACTOR_MP_TV)*I$15+FACTOR_OST*I$17/12</f>
        <v>0</v>
      </c>
      <c r="J27" s="718">
        <f>(1+FACTOR_MP_TV)*J$15+FACTOR_OST*J$17/12</f>
        <v>0</v>
      </c>
      <c r="K27" s="719">
        <f>(1+FACTOR_MP_TV)*K$15+FACTOR_OST*K$17/12</f>
        <v>0</v>
      </c>
      <c r="L27" s="1245">
        <f>SUM($M27:$M27)</f>
        <v>0</v>
      </c>
      <c r="M27" s="719">
        <f>(1+FACTOR_MP_TV)*M$15+FACTOR_OST*M$17/12</f>
        <v>0</v>
      </c>
      <c r="N27" s="1248"/>
      <c r="O27" s="720"/>
      <c r="P27" s="721"/>
      <c r="Q27" s="721"/>
      <c r="R27" s="721"/>
      <c r="S27" s="722"/>
      <c r="T27" s="723"/>
      <c r="U27" s="723"/>
      <c r="V27" s="723"/>
      <c r="W27" s="723"/>
      <c r="X27" s="723"/>
      <c r="Y27" s="724"/>
      <c r="AB27" s="1433" t="s">
        <v>195</v>
      </c>
    </row>
    <row r="28" spans="1:28" ht="18" customHeight="1">
      <c r="A28" s="725" t="s">
        <v>551</v>
      </c>
      <c r="B28" s="726"/>
      <c r="C28" s="727">
        <f>SUM($D28,$T28)</f>
        <v>0</v>
      </c>
      <c r="D28" s="727">
        <f>SUM($E28,$H28,$L28,$N28)</f>
        <v>0</v>
      </c>
      <c r="E28" s="1246">
        <f>SUM($F28:$G28)</f>
        <v>0</v>
      </c>
      <c r="F28" s="728">
        <f>SUM(F$19:F$21)</f>
        <v>0</v>
      </c>
      <c r="G28" s="729">
        <f>SUM(G$19:G$21)</f>
        <v>0</v>
      </c>
      <c r="H28" s="1246">
        <f>SUM($I28:$K28)</f>
        <v>0</v>
      </c>
      <c r="I28" s="728">
        <f>SUM(I$19:I$21)</f>
        <v>0</v>
      </c>
      <c r="J28" s="728">
        <f>SUM(J$19:J$21)</f>
        <v>0</v>
      </c>
      <c r="K28" s="729">
        <f>SUM(K$19:K$21)</f>
        <v>0</v>
      </c>
      <c r="L28" s="1246">
        <f>SUM($M28:$M28)</f>
        <v>0</v>
      </c>
      <c r="M28" s="729">
        <f>SUM(M$19:M$21)</f>
        <v>0</v>
      </c>
      <c r="N28" s="1246">
        <f>SUM($O28:$S28)</f>
        <v>0</v>
      </c>
      <c r="O28" s="730">
        <f t="shared" ref="O28:Q28" si="0">SUM(O$19:O$21)</f>
        <v>0</v>
      </c>
      <c r="P28" s="728">
        <f t="shared" si="0"/>
        <v>0</v>
      </c>
      <c r="Q28" s="728">
        <f t="shared" si="0"/>
        <v>0</v>
      </c>
      <c r="R28" s="728">
        <f>SUM(R$19:R$21)</f>
        <v>0</v>
      </c>
      <c r="S28" s="729">
        <f>SUM(S$19:S$21)</f>
        <v>0</v>
      </c>
      <c r="T28" s="731"/>
      <c r="U28" s="731"/>
      <c r="V28" s="731"/>
      <c r="W28" s="731"/>
      <c r="X28" s="731"/>
      <c r="Y28" s="732"/>
      <c r="AB28" s="1433"/>
    </row>
    <row r="29" spans="1:28" ht="15.75" thickBot="1">
      <c r="A29" s="733" t="s">
        <v>194</v>
      </c>
      <c r="B29" s="734"/>
      <c r="C29" s="735">
        <f>SUM($D29,$T29)</f>
        <v>0</v>
      </c>
      <c r="D29" s="735">
        <f>SUM($E29,$H29,$L29,$N29)</f>
        <v>0</v>
      </c>
      <c r="E29" s="1247">
        <f>SUM($F29:$G29)</f>
        <v>0</v>
      </c>
      <c r="F29" s="736">
        <f>0.75*F$8+0.25*SUM(F$19:F$21)</f>
        <v>0</v>
      </c>
      <c r="G29" s="737">
        <f>0.75*G$8+0.25*SUM(G$19:G$21)</f>
        <v>0</v>
      </c>
      <c r="H29" s="1247">
        <f>SUM($I29:$K29)</f>
        <v>0</v>
      </c>
      <c r="I29" s="736">
        <f>0.75*I$8+0.25*SUM(I$19:I$21)</f>
        <v>0</v>
      </c>
      <c r="J29" s="736">
        <f>0.75*J$8+0.25*SUM(J$19:J$21)</f>
        <v>0</v>
      </c>
      <c r="K29" s="737">
        <f>0.75*K$8+0.25*SUM(K$19:K$21)</f>
        <v>0</v>
      </c>
      <c r="L29" s="1247">
        <f>SUM($M29:$M29)</f>
        <v>0</v>
      </c>
      <c r="M29" s="737">
        <f>0.75*M$8+0.25*SUM(M$19:M$21)</f>
        <v>0</v>
      </c>
      <c r="N29" s="1247">
        <f>SUM($O29:$S29)</f>
        <v>0</v>
      </c>
      <c r="O29" s="738">
        <f>0.75*O$8+0.25*SUM(O$19:O$21)</f>
        <v>0</v>
      </c>
      <c r="P29" s="736">
        <f t="shared" ref="P29:R29" si="1">0.75*P$8+0.25*SUM(P$19:P$21)</f>
        <v>0</v>
      </c>
      <c r="Q29" s="736">
        <f t="shared" si="1"/>
        <v>0</v>
      </c>
      <c r="R29" s="736">
        <f t="shared" si="1"/>
        <v>0</v>
      </c>
      <c r="S29" s="737">
        <f>0.75*S$8+0.25*SUM(S$19:S$21)</f>
        <v>0</v>
      </c>
      <c r="T29" s="739"/>
      <c r="U29" s="739"/>
      <c r="V29" s="739"/>
      <c r="W29" s="739"/>
      <c r="X29" s="739"/>
      <c r="Y29" s="740"/>
      <c r="AB29" s="1433"/>
    </row>
  </sheetData>
  <sheetProtection algorithmName="SHA-512" hashValue="ixshYsdry+pON0jb7Oo2yEJ+j8geMhPjB8EfnX5GVCEkw1G0MPzod4OhMI7ENBjvU/FXmjqSFvtturKUdMhJQg==" saltValue="rdDP6+cvkDjG2fBF8Pq0KA==" spinCount="100000" sheet="1" objects="1" scenarios="1" sort="0" autoFilter="0"/>
  <mergeCells count="3">
    <mergeCell ref="A1:Z1"/>
    <mergeCell ref="AB27:AB29"/>
    <mergeCell ref="D4:H4"/>
  </mergeCells>
  <pageMargins left="0.7" right="0.7" top="0.75" bottom="0.75" header="0.3" footer="0.3"/>
  <pageSetup paperSize="9" orientation="portrait" r:id="rId1"/>
  <ignoredErrors>
    <ignoredError sqref="C21:C25 C10 C12:C19" calculatedColumn="1"/>
  </ignoredErrors>
  <drawing r:id="rId2"/>
  <tableParts count="1">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ublished="0" codeName="Blad19"/>
  <dimension ref="A1:L40"/>
  <sheetViews>
    <sheetView zoomScaleNormal="100" workbookViewId="0">
      <selection activeCell="E4" sqref="E4:F4"/>
    </sheetView>
  </sheetViews>
  <sheetFormatPr defaultColWidth="20.7109375" defaultRowHeight="15"/>
  <cols>
    <col min="1" max="1" width="50.7109375" style="1" customWidth="1"/>
    <col min="2" max="16384" width="20.7109375" style="1"/>
  </cols>
  <sheetData>
    <row r="1" spans="1:10" ht="30" customHeight="1" thickBot="1">
      <c r="A1" s="1437" t="s">
        <v>205</v>
      </c>
      <c r="B1" s="1438"/>
      <c r="C1" s="1438"/>
      <c r="D1" s="1426"/>
      <c r="E1" s="1438"/>
      <c r="F1" s="1438"/>
      <c r="G1" s="1438"/>
      <c r="H1" s="1438"/>
      <c r="I1" s="1438"/>
      <c r="J1" s="1439"/>
    </row>
    <row r="3" spans="1:10" ht="15.75" thickBot="1"/>
    <row r="4" spans="1:10" ht="15.75" thickBot="1">
      <c r="B4" s="129" t="s">
        <v>6</v>
      </c>
      <c r="E4" s="1418" t="str">
        <f>DNB</f>
        <v>Naam distributienetbeheerder</v>
      </c>
      <c r="F4" s="1420"/>
    </row>
    <row r="6" spans="1:10" ht="15.75" thickBot="1"/>
    <row r="7" spans="1:10" s="60" customFormat="1" ht="45" customHeight="1">
      <c r="A7" s="1450" t="s">
        <v>107</v>
      </c>
      <c r="B7" s="1454" t="s">
        <v>137</v>
      </c>
      <c r="C7" s="1455"/>
      <c r="D7" s="1458" t="s">
        <v>142</v>
      </c>
      <c r="E7" s="1459"/>
      <c r="F7" s="1454" t="s">
        <v>328</v>
      </c>
      <c r="G7" s="1455"/>
      <c r="H7" s="1456"/>
      <c r="I7" s="1457"/>
      <c r="J7" s="1452" t="s">
        <v>325</v>
      </c>
    </row>
    <row r="8" spans="1:10" ht="15.75" thickBot="1">
      <c r="A8" s="1451"/>
      <c r="B8" s="170" t="s">
        <v>24</v>
      </c>
      <c r="C8" s="171" t="s">
        <v>134</v>
      </c>
      <c r="D8" s="170" t="s">
        <v>326</v>
      </c>
      <c r="E8" s="171" t="s">
        <v>139</v>
      </c>
      <c r="F8" s="170" t="s">
        <v>141</v>
      </c>
      <c r="G8" s="171" t="s">
        <v>327</v>
      </c>
      <c r="H8" s="170" t="s">
        <v>135</v>
      </c>
      <c r="I8" s="171" t="s">
        <v>143</v>
      </c>
      <c r="J8" s="1453"/>
    </row>
    <row r="9" spans="1:10">
      <c r="A9" s="152" t="s">
        <v>102</v>
      </c>
      <c r="B9" s="1460" t="e">
        <f>Tabel3A[[#Totals],[Afnameklanten  op TRHS (∑)]]</f>
        <v>#DIV/0!</v>
      </c>
      <c r="C9" s="1462" t="e">
        <f>INDEX(Tabel3A[Afnameklanten  op TRHS (∑)],1)</f>
        <v>#DIV/0!</v>
      </c>
      <c r="D9" s="1467" t="e">
        <f>'Max Afname TRHS'!$AA$41/SUM('Max Afname TRHS'!$O$41:$P$41)</f>
        <v>#DIV/0!</v>
      </c>
      <c r="E9" s="1469" t="e">
        <f>$D9*$C9</f>
        <v>#DIV/0!</v>
      </c>
      <c r="F9" s="1486">
        <f>PROCENT_VERHOGING_NA_MAX-1</f>
        <v>0</v>
      </c>
      <c r="G9" s="1462" t="e">
        <f>$F9*$C9</f>
        <v>#DIV/0!</v>
      </c>
      <c r="H9" s="1460" t="e">
        <f>SUM($C9,-$E9,$G9)</f>
        <v>#DIV/0!</v>
      </c>
      <c r="I9" s="1487" t="e">
        <f>$H9/$C9</f>
        <v>#DIV/0!</v>
      </c>
      <c r="J9" s="1489" t="s">
        <v>337</v>
      </c>
    </row>
    <row r="10" spans="1:10">
      <c r="A10" s="173" t="s">
        <v>132</v>
      </c>
      <c r="B10" s="1461"/>
      <c r="C10" s="1445"/>
      <c r="D10" s="1468"/>
      <c r="E10" s="1445"/>
      <c r="F10" s="1442"/>
      <c r="G10" s="1445"/>
      <c r="H10" s="1461"/>
      <c r="I10" s="1448"/>
      <c r="J10" s="1492"/>
    </row>
    <row r="11" spans="1:10">
      <c r="A11" s="153" t="s">
        <v>133</v>
      </c>
      <c r="B11" s="1463" t="e">
        <f>Tabel3A[[#Totals],[Afnameklanten op MS (∑)]]</f>
        <v>#VALUE!</v>
      </c>
      <c r="C11" s="1443" t="e">
        <f>INDEX(Tabel3A[Afnameklanten op MS (∑)],1)</f>
        <v>#VALUE!</v>
      </c>
      <c r="D11" s="1470" t="e">
        <f>'Max Afname MS'!$AA$42/('Max Afname MS'!$O$42+'Max Afname MS'!$P$42)</f>
        <v>#VALUE!</v>
      </c>
      <c r="E11" s="1472" t="e">
        <f>$D11*$C11</f>
        <v>#VALUE!</v>
      </c>
      <c r="F11" s="1440">
        <f>PROCENT_VERHOGING_NA_MAX-1</f>
        <v>0</v>
      </c>
      <c r="G11" s="1443" t="e">
        <f>$F11*$C11</f>
        <v>#VALUE!</v>
      </c>
      <c r="H11" s="1463" t="e">
        <f>SUM($C11,-$E11,$G11)</f>
        <v>#VALUE!</v>
      </c>
      <c r="I11" s="1446" t="e">
        <f>$H11/$C11</f>
        <v>#VALUE!</v>
      </c>
      <c r="J11" s="1493" t="s">
        <v>338</v>
      </c>
    </row>
    <row r="12" spans="1:10">
      <c r="A12" s="153" t="s">
        <v>269</v>
      </c>
      <c r="B12" s="1464"/>
      <c r="C12" s="1444"/>
      <c r="D12" s="1471"/>
      <c r="E12" s="1444"/>
      <c r="F12" s="1441"/>
      <c r="G12" s="1444"/>
      <c r="H12" s="1464"/>
      <c r="I12" s="1447"/>
      <c r="J12" s="1490"/>
    </row>
    <row r="13" spans="1:10">
      <c r="A13" s="153" t="s">
        <v>270</v>
      </c>
      <c r="B13" s="1461"/>
      <c r="C13" s="1445"/>
      <c r="D13" s="1468"/>
      <c r="E13" s="1445"/>
      <c r="F13" s="1442"/>
      <c r="G13" s="1445"/>
      <c r="H13" s="1461"/>
      <c r="I13" s="1448"/>
      <c r="J13" s="1492"/>
    </row>
    <row r="14" spans="1:10">
      <c r="A14" s="153" t="s">
        <v>103</v>
      </c>
      <c r="B14" s="93" t="e">
        <f>Tabel3A[[#Totals],[Afnameklanten op TRLS (∑)]]</f>
        <v>#VALUE!</v>
      </c>
      <c r="C14" s="94" t="e">
        <f>INDEX(Tabel3A[Afnameklanten op TRLS (∑)],1)</f>
        <v>#VALUE!</v>
      </c>
      <c r="D14" s="371" t="e">
        <f>'Max Afname TRLS'!$AA$40/('Max Afname TRLS'!$O$40+'Max Afname TRLS'!$P$40)</f>
        <v>#VALUE!</v>
      </c>
      <c r="E14" s="367" t="e">
        <f>$D14*$C14</f>
        <v>#VALUE!</v>
      </c>
      <c r="F14" s="368">
        <f>PROCENT_VERHOGING_NA_MAX-1</f>
        <v>0</v>
      </c>
      <c r="G14" s="94" t="e">
        <f>$F14*$C14</f>
        <v>#VALUE!</v>
      </c>
      <c r="H14" s="93" t="e">
        <f>SUM($C14,-$E14,$G14)</f>
        <v>#VALUE!</v>
      </c>
      <c r="I14" s="587" t="e">
        <f>$H14/$C14</f>
        <v>#VALUE!</v>
      </c>
      <c r="J14" s="375" t="s">
        <v>339</v>
      </c>
    </row>
    <row r="15" spans="1:10">
      <c r="A15" s="153" t="s">
        <v>119</v>
      </c>
      <c r="B15" s="1463" t="e">
        <f>Tabel3A[[#Totals],[Afnameklanten op LS met piekmeting (∑)]]</f>
        <v>#DIV/0!</v>
      </c>
      <c r="C15" s="1443" t="e">
        <f>INDEX(Tabel3A[Afnameklanten op LS met piekmeting (∑)],1)</f>
        <v>#DIV/0!</v>
      </c>
      <c r="D15" s="1470" t="e">
        <f>'Max Afname LS'!$T$40/('Max Afname LS'!$K$40+'Max Afname LS'!$L$40)</f>
        <v>#DIV/0!</v>
      </c>
      <c r="E15" s="1472" t="e">
        <f>$D15*$C15</f>
        <v>#DIV/0!</v>
      </c>
      <c r="F15" s="1440">
        <f>PROCENT_VERHOGING_NA_MAX-1</f>
        <v>0</v>
      </c>
      <c r="G15" s="1443" t="e">
        <f>$F15*$C15</f>
        <v>#DIV/0!</v>
      </c>
      <c r="H15" s="1463" t="e">
        <f>SUM($C15,-$E15,$G15)</f>
        <v>#DIV/0!</v>
      </c>
      <c r="I15" s="1446" t="e">
        <f>$H15/$C15</f>
        <v>#DIV/0!</v>
      </c>
      <c r="J15" s="1493" t="s">
        <v>340</v>
      </c>
    </row>
    <row r="16" spans="1:10">
      <c r="A16" s="154" t="s">
        <v>547</v>
      </c>
      <c r="B16" s="1461"/>
      <c r="C16" s="1445"/>
      <c r="D16" s="1468"/>
      <c r="E16" s="1445">
        <f t="shared" ref="E16" si="0">$D16*$C16</f>
        <v>0</v>
      </c>
      <c r="F16" s="1442"/>
      <c r="G16" s="1445"/>
      <c r="H16" s="1461"/>
      <c r="I16" s="1448"/>
      <c r="J16" s="1492"/>
    </row>
    <row r="17" spans="1:12">
      <c r="A17" s="153" t="s">
        <v>120</v>
      </c>
      <c r="B17" s="1463" t="e">
        <f>Tabel3A[[#Totals],[Afnameklanten met klassieke/terugdraaiende meter (∑)]]</f>
        <v>#DIV/0!</v>
      </c>
      <c r="C17" s="1443" t="e">
        <f>INDEX(Tabel3A[Afnameklanten met klassieke/terugdraaiende meter (∑)],1)</f>
        <v>#DIV/0!</v>
      </c>
      <c r="D17" s="1473"/>
      <c r="E17" s="1476"/>
      <c r="F17" s="1440">
        <f>PROCENT_VERHOGING_NA_MAX-1</f>
        <v>0</v>
      </c>
      <c r="G17" s="1443" t="e">
        <f>$F17*$C17</f>
        <v>#DIV/0!</v>
      </c>
      <c r="H17" s="1463" t="e">
        <f>SUM($C17,-$E17,$G17)</f>
        <v>#DIV/0!</v>
      </c>
      <c r="I17" s="1446" t="e">
        <f>$H17/$C17</f>
        <v>#DIV/0!</v>
      </c>
      <c r="J17" s="376"/>
    </row>
    <row r="18" spans="1:12">
      <c r="A18" s="153" t="s">
        <v>548</v>
      </c>
      <c r="B18" s="1464"/>
      <c r="C18" s="1444"/>
      <c r="D18" s="1474"/>
      <c r="E18" s="1477"/>
      <c r="F18" s="1441"/>
      <c r="G18" s="1444"/>
      <c r="H18" s="1464"/>
      <c r="I18" s="1447"/>
      <c r="J18" s="376"/>
    </row>
    <row r="19" spans="1:12" ht="15.75" thickBot="1">
      <c r="A19" s="153" t="s">
        <v>121</v>
      </c>
      <c r="B19" s="1461"/>
      <c r="C19" s="1445"/>
      <c r="D19" s="1475"/>
      <c r="E19" s="1478"/>
      <c r="F19" s="1442"/>
      <c r="G19" s="1445"/>
      <c r="H19" s="1461"/>
      <c r="I19" s="1448"/>
      <c r="J19" s="376"/>
    </row>
    <row r="20" spans="1:12" ht="15.75" thickBot="1">
      <c r="A20" s="169" t="s">
        <v>207</v>
      </c>
      <c r="B20" s="100" t="e">
        <f>SUM(B$9:B$19)</f>
        <v>#DIV/0!</v>
      </c>
      <c r="C20" s="102" t="e">
        <f>SUM(C$9:C$19)</f>
        <v>#DIV/0!</v>
      </c>
      <c r="D20" s="372"/>
      <c r="E20" s="102" t="e">
        <f>SUM(E$9:E$19)</f>
        <v>#DIV/0!</v>
      </c>
      <c r="F20" s="369">
        <f>PROCENT_VERHOGING_NA_MAX-1</f>
        <v>0</v>
      </c>
      <c r="G20" s="102" t="e">
        <f>SUM(G$9:G$19)</f>
        <v>#DIV/0!</v>
      </c>
      <c r="H20" s="100" t="e">
        <f>SUM(H$9:H$19)</f>
        <v>#DIV/0!</v>
      </c>
      <c r="I20" s="588" t="e">
        <f>$H20/$C20</f>
        <v>#DIV/0!</v>
      </c>
      <c r="J20" s="377"/>
      <c r="K20" s="136"/>
      <c r="L20" s="136"/>
    </row>
    <row r="21" spans="1:12">
      <c r="A21" s="177" t="s">
        <v>209</v>
      </c>
      <c r="B21" s="1460" t="e">
        <f>Tabel3A[[#Totals],[Injectieklanten (∑)]]</f>
        <v>#VALUE!</v>
      </c>
      <c r="C21" s="1462" t="e">
        <f>INDEX(Tabel3A[Injectieklanten (∑)],1)</f>
        <v>#VALUE!</v>
      </c>
      <c r="D21" s="1467" t="e">
        <f>'Max Injectie'!$J$38/'Max Injectie'!$F$38</f>
        <v>#VALUE!</v>
      </c>
      <c r="E21" s="1469" t="e">
        <f>$D21*$C21</f>
        <v>#VALUE!</v>
      </c>
      <c r="F21" s="1480"/>
      <c r="G21" s="1483"/>
      <c r="H21" s="1460" t="e">
        <f>SUM($C21,-$E21)</f>
        <v>#VALUE!</v>
      </c>
      <c r="I21" s="1487" t="e">
        <f>$H21/$C21</f>
        <v>#VALUE!</v>
      </c>
      <c r="J21" s="1489" t="s">
        <v>145</v>
      </c>
      <c r="K21" s="136"/>
      <c r="L21" s="136"/>
    </row>
    <row r="22" spans="1:12">
      <c r="A22" s="177" t="s">
        <v>267</v>
      </c>
      <c r="B22" s="1464"/>
      <c r="C22" s="1444"/>
      <c r="D22" s="1471"/>
      <c r="E22" s="1444"/>
      <c r="F22" s="1481"/>
      <c r="G22" s="1484"/>
      <c r="H22" s="1464"/>
      <c r="I22" s="1447"/>
      <c r="J22" s="1490"/>
      <c r="K22" s="136"/>
      <c r="L22" s="136"/>
    </row>
    <row r="23" spans="1:12">
      <c r="A23" s="153" t="s">
        <v>271</v>
      </c>
      <c r="B23" s="1464"/>
      <c r="C23" s="1444"/>
      <c r="D23" s="1471"/>
      <c r="E23" s="1444"/>
      <c r="F23" s="1481"/>
      <c r="G23" s="1484"/>
      <c r="H23" s="1464"/>
      <c r="I23" s="1447"/>
      <c r="J23" s="1490"/>
      <c r="K23" s="136"/>
      <c r="L23" s="136"/>
    </row>
    <row r="24" spans="1:12">
      <c r="A24" s="153" t="s">
        <v>104</v>
      </c>
      <c r="B24" s="1464"/>
      <c r="C24" s="1444"/>
      <c r="D24" s="1471"/>
      <c r="E24" s="1444"/>
      <c r="F24" s="1481"/>
      <c r="G24" s="1484"/>
      <c r="H24" s="1464"/>
      <c r="I24" s="1447"/>
      <c r="J24" s="1490"/>
      <c r="K24" s="136"/>
      <c r="L24" s="136"/>
    </row>
    <row r="25" spans="1:12" ht="15.75" thickBot="1">
      <c r="A25" s="154" t="s">
        <v>105</v>
      </c>
      <c r="B25" s="1465"/>
      <c r="C25" s="1466"/>
      <c r="D25" s="1479"/>
      <c r="E25" s="1466"/>
      <c r="F25" s="1482"/>
      <c r="G25" s="1485"/>
      <c r="H25" s="1465"/>
      <c r="I25" s="1488"/>
      <c r="J25" s="1491"/>
      <c r="K25" s="136"/>
      <c r="L25" s="136"/>
    </row>
    <row r="26" spans="1:12" ht="15.75" thickBot="1">
      <c r="A26" s="169" t="s">
        <v>206</v>
      </c>
      <c r="B26" s="100" t="e">
        <f>SUM(B$21:B$25)</f>
        <v>#VALUE!</v>
      </c>
      <c r="C26" s="102" t="e">
        <f>SUM(C$21:C$25)</f>
        <v>#VALUE!</v>
      </c>
      <c r="D26" s="372"/>
      <c r="E26" s="102" t="e">
        <f>SUM(E$21:E$25)</f>
        <v>#VALUE!</v>
      </c>
      <c r="F26" s="370"/>
      <c r="G26" s="374"/>
      <c r="H26" s="100" t="e">
        <f>SUM(H$21:H$25)</f>
        <v>#VALUE!</v>
      </c>
      <c r="I26" s="588" t="e">
        <f>$H26/$C26</f>
        <v>#VALUE!</v>
      </c>
      <c r="J26" s="377"/>
      <c r="K26" s="136"/>
      <c r="L26" s="136"/>
    </row>
    <row r="27" spans="1:12" ht="15.75" thickBot="1">
      <c r="A27" s="178" t="s">
        <v>208</v>
      </c>
      <c r="B27" s="597" t="e">
        <f>SUM(B$20,B$26)</f>
        <v>#DIV/0!</v>
      </c>
      <c r="C27" s="598" t="e">
        <f>SUM(C$20,C$26)</f>
        <v>#DIV/0!</v>
      </c>
      <c r="D27" s="599"/>
      <c r="E27" s="598" t="e">
        <f>SUM(E$20,E$26)</f>
        <v>#DIV/0!</v>
      </c>
      <c r="F27" s="373"/>
      <c r="G27" s="614" t="e">
        <f>SUM(G$20,G$26)</f>
        <v>#DIV/0!</v>
      </c>
      <c r="H27" s="597" t="e">
        <f>SUM(H$20,H$26)</f>
        <v>#DIV/0!</v>
      </c>
      <c r="I27" s="589" t="e">
        <f>$H27/$C27</f>
        <v>#DIV/0!</v>
      </c>
      <c r="J27" s="378"/>
      <c r="K27" s="136"/>
      <c r="L27" s="136"/>
    </row>
    <row r="28" spans="1:12">
      <c r="K28" s="136"/>
      <c r="L28" s="136"/>
    </row>
    <row r="29" spans="1:12">
      <c r="B29" s="260"/>
      <c r="K29" s="136"/>
      <c r="L29" s="136"/>
    </row>
    <row r="30" spans="1:12" ht="20.25" customHeight="1">
      <c r="K30" s="136"/>
      <c r="L30" s="136"/>
    </row>
    <row r="31" spans="1:12">
      <c r="E31" s="158"/>
      <c r="F31" s="133"/>
      <c r="G31" s="133"/>
      <c r="H31" s="159"/>
      <c r="K31" s="136"/>
      <c r="L31" s="136"/>
    </row>
    <row r="32" spans="1:12" ht="19.5" thickBot="1">
      <c r="E32" s="160"/>
      <c r="F32" s="1449" t="s">
        <v>144</v>
      </c>
      <c r="G32" s="1449"/>
      <c r="H32" s="162"/>
      <c r="K32" s="136"/>
      <c r="L32" s="136"/>
    </row>
    <row r="33" spans="5:12" ht="15.75" thickBot="1">
      <c r="E33" s="160"/>
      <c r="F33" s="161"/>
      <c r="G33" s="161"/>
      <c r="H33" s="162"/>
      <c r="K33" s="136"/>
      <c r="L33" s="136"/>
    </row>
    <row r="34" spans="5:12" ht="15.75" thickBot="1">
      <c r="E34" s="160"/>
      <c r="F34" s="161" t="s">
        <v>212</v>
      </c>
      <c r="G34" s="768">
        <v>1</v>
      </c>
      <c r="H34" s="162"/>
      <c r="K34" s="136"/>
      <c r="L34" s="136"/>
    </row>
    <row r="35" spans="5:12" ht="15.75" thickBot="1">
      <c r="E35" s="160"/>
      <c r="F35" s="161"/>
      <c r="G35" s="161"/>
      <c r="H35" s="162"/>
      <c r="K35" s="136"/>
      <c r="L35" s="136"/>
    </row>
    <row r="36" spans="5:12" ht="15.75" thickBot="1">
      <c r="E36" s="160"/>
      <c r="F36" s="161" t="s">
        <v>210</v>
      </c>
      <c r="G36" s="767" t="e">
        <f>$I$27</f>
        <v>#DIV/0!</v>
      </c>
      <c r="H36" s="162" t="s">
        <v>211</v>
      </c>
      <c r="K36" s="136"/>
      <c r="L36" s="136"/>
    </row>
    <row r="37" spans="5:12">
      <c r="E37" s="165"/>
      <c r="F37" s="166"/>
      <c r="G37" s="166"/>
      <c r="H37" s="167"/>
      <c r="L37" s="136"/>
    </row>
    <row r="38" spans="5:12">
      <c r="L38" s="136"/>
    </row>
    <row r="39" spans="5:12">
      <c r="L39" s="136"/>
    </row>
    <row r="40" spans="5:12">
      <c r="L40" s="136"/>
    </row>
  </sheetData>
  <sheetProtection algorithmName="SHA-512" hashValue="89Vvp7W2EHxpdS4Bx3XsilxR2+0b22/FOkVNn1Pj8osbGZJLELgrm1ky8OUroOdc0EabJi3x9bCNLhzQ1ku/1Q==" saltValue="zAZWdoGuRa4FYP0jT/M1vQ==" spinCount="100000" sheet="1" objects="1" scenarios="1"/>
  <mergeCells count="53">
    <mergeCell ref="I21:I25"/>
    <mergeCell ref="J21:J25"/>
    <mergeCell ref="J9:J10"/>
    <mergeCell ref="J11:J13"/>
    <mergeCell ref="J15:J16"/>
    <mergeCell ref="I9:I10"/>
    <mergeCell ref="I11:I13"/>
    <mergeCell ref="I15:I16"/>
    <mergeCell ref="F21:F25"/>
    <mergeCell ref="G21:G25"/>
    <mergeCell ref="H9:H10"/>
    <mergeCell ref="H17:H19"/>
    <mergeCell ref="F9:F10"/>
    <mergeCell ref="G9:G10"/>
    <mergeCell ref="F11:F13"/>
    <mergeCell ref="G11:G13"/>
    <mergeCell ref="F15:F16"/>
    <mergeCell ref="G15:G16"/>
    <mergeCell ref="H21:H25"/>
    <mergeCell ref="H11:H13"/>
    <mergeCell ref="H15:H16"/>
    <mergeCell ref="C21:C25"/>
    <mergeCell ref="D9:D10"/>
    <mergeCell ref="E9:E10"/>
    <mergeCell ref="D11:D13"/>
    <mergeCell ref="E11:E13"/>
    <mergeCell ref="D15:D16"/>
    <mergeCell ref="E15:E16"/>
    <mergeCell ref="D17:D19"/>
    <mergeCell ref="E17:E19"/>
    <mergeCell ref="D21:D25"/>
    <mergeCell ref="E21:E25"/>
    <mergeCell ref="F32:G32"/>
    <mergeCell ref="A7:A8"/>
    <mergeCell ref="J7:J8"/>
    <mergeCell ref="B7:C7"/>
    <mergeCell ref="F7:G7"/>
    <mergeCell ref="H7:I7"/>
    <mergeCell ref="D7:E7"/>
    <mergeCell ref="B9:B10"/>
    <mergeCell ref="C9:C10"/>
    <mergeCell ref="B11:B13"/>
    <mergeCell ref="C11:C13"/>
    <mergeCell ref="B15:B16"/>
    <mergeCell ref="C15:C16"/>
    <mergeCell ref="B17:B19"/>
    <mergeCell ref="C17:C19"/>
    <mergeCell ref="B21:B25"/>
    <mergeCell ref="A1:J1"/>
    <mergeCell ref="E4:F4"/>
    <mergeCell ref="F17:F19"/>
    <mergeCell ref="G17:G19"/>
    <mergeCell ref="I17:I19"/>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ublished="0" codeName="Blad20"/>
  <dimension ref="A1:AA41"/>
  <sheetViews>
    <sheetView workbookViewId="0">
      <selection activeCell="D4" sqref="D4:E4"/>
    </sheetView>
  </sheetViews>
  <sheetFormatPr defaultColWidth="20.7109375" defaultRowHeight="15"/>
  <cols>
    <col min="1" max="1" width="20.7109375" style="591"/>
    <col min="2" max="2" width="25.85546875" style="591" customWidth="1"/>
    <col min="3" max="24" width="20.7109375" style="591"/>
    <col min="25" max="25" width="5.7109375" style="591" customWidth="1"/>
    <col min="26" max="16384" width="20.7109375" style="591"/>
  </cols>
  <sheetData>
    <row r="1" spans="1:24" ht="30" customHeight="1" thickBot="1">
      <c r="A1" s="1425" t="s">
        <v>348</v>
      </c>
      <c r="B1" s="1426"/>
      <c r="C1" s="1426"/>
      <c r="D1" s="1426"/>
      <c r="E1" s="1426"/>
      <c r="F1" s="1426"/>
      <c r="G1" s="1426"/>
      <c r="H1" s="1426"/>
      <c r="I1" s="1426"/>
      <c r="J1" s="1426"/>
      <c r="K1" s="1426"/>
      <c r="L1" s="1426"/>
      <c r="M1" s="1426"/>
      <c r="N1" s="1426"/>
      <c r="O1" s="1426"/>
      <c r="P1" s="1426"/>
      <c r="Q1" s="1426"/>
      <c r="R1" s="1426"/>
      <c r="S1" s="1426"/>
      <c r="T1" s="1426"/>
      <c r="U1" s="1426"/>
      <c r="V1" s="1426"/>
      <c r="W1" s="1426"/>
      <c r="X1" s="1494"/>
    </row>
    <row r="2" spans="1:24">
      <c r="B2" s="1"/>
      <c r="C2" s="1"/>
      <c r="D2" s="1"/>
      <c r="E2" s="1"/>
      <c r="F2" s="1"/>
      <c r="G2" s="1"/>
      <c r="H2" s="1"/>
      <c r="I2" s="1"/>
      <c r="J2" s="1"/>
      <c r="K2" s="1"/>
      <c r="L2" s="1"/>
      <c r="M2" s="1"/>
      <c r="N2" s="1"/>
      <c r="O2" s="1"/>
      <c r="P2" s="1"/>
    </row>
    <row r="3" spans="1:24" ht="15.75" thickBot="1">
      <c r="B3" s="1"/>
      <c r="C3" s="1"/>
      <c r="D3" s="1"/>
      <c r="E3" s="1"/>
      <c r="F3" s="1"/>
      <c r="G3" s="1"/>
      <c r="H3" s="1"/>
      <c r="I3" s="1"/>
      <c r="J3" s="1"/>
      <c r="K3" s="1"/>
      <c r="L3" s="1"/>
      <c r="M3" s="1"/>
      <c r="N3" s="1"/>
      <c r="O3" s="1"/>
      <c r="P3" s="1"/>
    </row>
    <row r="4" spans="1:24" ht="15.75" thickBot="1">
      <c r="B4" s="129" t="s">
        <v>6</v>
      </c>
      <c r="C4" s="168"/>
      <c r="D4" s="1418" t="str">
        <f>DNB</f>
        <v>Naam distributienetbeheerder</v>
      </c>
      <c r="E4" s="1420"/>
      <c r="K4" s="168"/>
      <c r="L4" s="168"/>
      <c r="O4" s="1"/>
      <c r="P4" s="1"/>
    </row>
    <row r="6" spans="1:24" ht="15.75" thickBot="1"/>
    <row r="7" spans="1:24" ht="18">
      <c r="M7" s="1509" t="s">
        <v>152</v>
      </c>
      <c r="N7" s="210" t="s">
        <v>148</v>
      </c>
      <c r="O7" s="397" t="e">
        <f>INDEX(Tabel3B[Afnameklanten op TRHS (∑)],1)</f>
        <v>#DIV/0!</v>
      </c>
      <c r="P7" s="398"/>
      <c r="Q7" s="399" t="e">
        <f>$O$7*$Q$16</f>
        <v>#DIV/0!</v>
      </c>
      <c r="R7" s="398"/>
      <c r="S7" s="398"/>
      <c r="T7" s="398"/>
      <c r="U7" s="400"/>
      <c r="V7" s="400"/>
      <c r="W7" s="401"/>
      <c r="X7" s="402"/>
    </row>
    <row r="8" spans="1:24" ht="18">
      <c r="M8" s="1510"/>
      <c r="N8" s="211" t="s">
        <v>149</v>
      </c>
      <c r="O8" s="403" t="e">
        <f>INDEX(Tabel3B[Afnameklanten op TRHS (∑)],2)</f>
        <v>#DIV/0!</v>
      </c>
      <c r="P8" s="404"/>
      <c r="Q8" s="405" t="e">
        <f>$O$8*$Q$16</f>
        <v>#DIV/0!</v>
      </c>
      <c r="R8" s="404"/>
      <c r="S8" s="404"/>
      <c r="T8" s="404"/>
      <c r="U8" s="406"/>
      <c r="V8" s="406"/>
      <c r="W8" s="407"/>
      <c r="X8" s="408"/>
    </row>
    <row r="9" spans="1:24" ht="18">
      <c r="M9" s="1510"/>
      <c r="N9" s="211" t="s">
        <v>150</v>
      </c>
      <c r="O9" s="407"/>
      <c r="P9" s="405" t="e">
        <f>INDEX(Tabel3B[Afnameklanten op TRHS (∑)],3)</f>
        <v>#DIV/0!</v>
      </c>
      <c r="Q9" s="404"/>
      <c r="R9" s="405" t="e">
        <f>$P$9*$Q$16</f>
        <v>#DIV/0!</v>
      </c>
      <c r="S9" s="404"/>
      <c r="T9" s="404"/>
      <c r="U9" s="406"/>
      <c r="V9" s="406"/>
      <c r="W9" s="407"/>
      <c r="X9" s="408"/>
    </row>
    <row r="10" spans="1:24" ht="18">
      <c r="M10" s="1510"/>
      <c r="N10" s="211" t="s">
        <v>151</v>
      </c>
      <c r="O10" s="409"/>
      <c r="P10" s="410"/>
      <c r="Q10" s="410"/>
      <c r="R10" s="410"/>
      <c r="S10" s="411" t="e">
        <f>INDEX(Tabel3B[Afnameklanten op TRHS (∑)],15)</f>
        <v>#VALUE!</v>
      </c>
      <c r="T10" s="411" t="e">
        <f>INDEX(Tabel3B[Afnameklanten op TRHS (∑)],17)</f>
        <v>#VALUE!</v>
      </c>
      <c r="U10" s="412" t="e">
        <f>INDEX(Tabel3B[Afnameklanten op TRHS (∑)],19)</f>
        <v>#DIV/0!</v>
      </c>
      <c r="V10" s="412" t="e">
        <f>INDEX(Tabel3B[Afnameklanten op TRHS (∑)],20)</f>
        <v>#DIV/0!</v>
      </c>
      <c r="W10" s="407"/>
      <c r="X10" s="408"/>
    </row>
    <row r="11" spans="1:24" ht="18">
      <c r="M11" s="1510"/>
      <c r="N11" s="211" t="s">
        <v>218</v>
      </c>
      <c r="O11" s="409"/>
      <c r="P11" s="410"/>
      <c r="Q11" s="410"/>
      <c r="R11" s="410"/>
      <c r="S11" s="411">
        <f>INDEX(Tabel3B[Afnameklanten op TRHS (∑)],16)</f>
        <v>0</v>
      </c>
      <c r="T11" s="410"/>
      <c r="U11" s="413"/>
      <c r="V11" s="413"/>
      <c r="W11" s="407"/>
      <c r="X11" s="408"/>
    </row>
    <row r="12" spans="1:24">
      <c r="M12" s="1510"/>
      <c r="N12" s="392" t="s">
        <v>7</v>
      </c>
      <c r="O12" s="407"/>
      <c r="P12" s="404"/>
      <c r="Q12" s="404"/>
      <c r="R12" s="404"/>
      <c r="S12" s="404"/>
      <c r="T12" s="404"/>
      <c r="U12" s="406"/>
      <c r="V12" s="414"/>
      <c r="W12" s="93" t="e">
        <f>INDEX(Tabel3B[Afnameklanten op TRHS (∑)],9)</f>
        <v>#DIV/0!</v>
      </c>
      <c r="X12" s="408"/>
    </row>
    <row r="13" spans="1:24">
      <c r="M13" s="1510"/>
      <c r="N13" s="393" t="s">
        <v>8</v>
      </c>
      <c r="O13" s="407"/>
      <c r="P13" s="404"/>
      <c r="Q13" s="404"/>
      <c r="R13" s="404"/>
      <c r="S13" s="404"/>
      <c r="T13" s="404"/>
      <c r="U13" s="406"/>
      <c r="V13" s="414"/>
      <c r="W13" s="93" t="e">
        <f>INDEX(Tabel3B[Afnameklanten op TRHS (∑)],10)</f>
        <v>#DIV/0!</v>
      </c>
      <c r="X13" s="408"/>
    </row>
    <row r="14" spans="1:24" ht="15.75" thickBot="1">
      <c r="M14" s="1510"/>
      <c r="N14" s="394" t="s">
        <v>197</v>
      </c>
      <c r="O14" s="407"/>
      <c r="P14" s="404"/>
      <c r="Q14" s="404"/>
      <c r="R14" s="404"/>
      <c r="S14" s="404"/>
      <c r="T14" s="404"/>
      <c r="U14" s="406"/>
      <c r="V14" s="414"/>
      <c r="W14" s="407"/>
      <c r="X14" s="415" t="e">
        <f>INDEX(Tabel3B[Afnameklanten op TRHS (∑)],8)</f>
        <v>#VALUE!</v>
      </c>
    </row>
    <row r="15" spans="1:24" ht="30" customHeight="1" thickBot="1">
      <c r="M15" s="1510"/>
      <c r="N15" s="212" t="s">
        <v>130</v>
      </c>
      <c r="O15" s="1500">
        <v>0</v>
      </c>
      <c r="P15" s="1501"/>
      <c r="Q15" s="1501"/>
      <c r="R15" s="1501"/>
      <c r="S15" s="1501"/>
      <c r="T15" s="1501"/>
      <c r="U15" s="1502"/>
      <c r="V15" s="1502"/>
      <c r="W15" s="395"/>
      <c r="X15" s="396"/>
    </row>
    <row r="16" spans="1:24" ht="30" customHeight="1" thickBot="1">
      <c r="M16" s="1511"/>
      <c r="N16" s="213" t="s">
        <v>136</v>
      </c>
      <c r="O16" s="206"/>
      <c r="P16" s="207"/>
      <c r="Q16" s="1499">
        <f>PROCENT_VERHOGING_NA_MAX</f>
        <v>1</v>
      </c>
      <c r="R16" s="1499"/>
      <c r="S16" s="207"/>
      <c r="T16" s="207"/>
      <c r="U16" s="389"/>
      <c r="V16" s="389"/>
      <c r="W16" s="208"/>
      <c r="X16" s="209"/>
    </row>
    <row r="17" spans="1:27" ht="15.75" thickBot="1"/>
    <row r="18" spans="1:27" ht="30" customHeight="1" thickBot="1">
      <c r="O18" s="1498" t="s">
        <v>137</v>
      </c>
      <c r="P18" s="1512"/>
      <c r="Q18" s="1456" t="s">
        <v>140</v>
      </c>
      <c r="R18" s="1457"/>
      <c r="S18" s="1503" t="s">
        <v>85</v>
      </c>
      <c r="T18" s="1505" t="s">
        <v>9</v>
      </c>
      <c r="U18" s="1517" t="s">
        <v>562</v>
      </c>
      <c r="V18" s="1507" t="s">
        <v>561</v>
      </c>
      <c r="W18" s="1513" t="s">
        <v>84</v>
      </c>
      <c r="X18" s="1515" t="s">
        <v>13</v>
      </c>
      <c r="Z18" s="1498" t="s">
        <v>138</v>
      </c>
      <c r="AA18" s="1452"/>
    </row>
    <row r="19" spans="1:27" ht="18.75" thickBot="1">
      <c r="A19" s="602" t="s">
        <v>146</v>
      </c>
      <c r="B19" s="183" t="s">
        <v>107</v>
      </c>
      <c r="C19" s="581" t="s">
        <v>214</v>
      </c>
      <c r="D19" s="184" t="s">
        <v>563</v>
      </c>
      <c r="E19" s="185" t="s">
        <v>25</v>
      </c>
      <c r="F19" s="186" t="s">
        <v>213</v>
      </c>
      <c r="G19" s="186" t="s">
        <v>149</v>
      </c>
      <c r="H19" s="186" t="s">
        <v>150</v>
      </c>
      <c r="I19" s="186" t="s">
        <v>343</v>
      </c>
      <c r="J19" s="383" t="s">
        <v>344</v>
      </c>
      <c r="K19" s="383" t="s">
        <v>345</v>
      </c>
      <c r="L19" s="383" t="s">
        <v>346</v>
      </c>
      <c r="M19" s="187" t="s">
        <v>347</v>
      </c>
      <c r="O19" s="188" t="s">
        <v>215</v>
      </c>
      <c r="P19" s="87" t="s">
        <v>147</v>
      </c>
      <c r="Q19" s="188" t="s">
        <v>215</v>
      </c>
      <c r="R19" s="87" t="s">
        <v>147</v>
      </c>
      <c r="S19" s="1504"/>
      <c r="T19" s="1506"/>
      <c r="U19" s="1518"/>
      <c r="V19" s="1508"/>
      <c r="W19" s="1514"/>
      <c r="X19" s="1516"/>
      <c r="Z19" s="188" t="s">
        <v>130</v>
      </c>
      <c r="AA19" s="189" t="s">
        <v>131</v>
      </c>
    </row>
    <row r="20" spans="1:27">
      <c r="A20" s="769"/>
      <c r="B20" s="770"/>
      <c r="C20" s="771"/>
      <c r="D20" s="772"/>
      <c r="E20" s="773"/>
      <c r="F20" s="774"/>
      <c r="G20" s="774"/>
      <c r="H20" s="774"/>
      <c r="I20" s="774"/>
      <c r="J20" s="775"/>
      <c r="K20" s="775"/>
      <c r="L20" s="775"/>
      <c r="M20" s="776"/>
      <c r="O20" s="789" t="e">
        <f>$O$7*$F20+$O$8*$G20</f>
        <v>#DIV/0!</v>
      </c>
      <c r="P20" s="790" t="e">
        <f>$P$9*$H20</f>
        <v>#DIV/0!</v>
      </c>
      <c r="Q20" s="791" t="e">
        <f>$Q$7*$F20+$Q$8*$G20</f>
        <v>#DIV/0!</v>
      </c>
      <c r="R20" s="792" t="e">
        <f>$R$9*$H20</f>
        <v>#DIV/0!</v>
      </c>
      <c r="S20" s="793" t="e">
        <f>$S$10*($I20+$J20)+$S$11*$K20</f>
        <v>#VALUE!</v>
      </c>
      <c r="T20" s="794" t="e">
        <f>$T$10*($I20+$J20+$K20)</f>
        <v>#VALUE!</v>
      </c>
      <c r="U20" s="794" t="e">
        <f>$U$10*($I20+$J20+$K20)</f>
        <v>#DIV/0!</v>
      </c>
      <c r="V20" s="795" t="e">
        <f>$V$10*(($I20+$J20+$K20)-IF($D20="x",0.15*MAX($I20+$J20+$K20-20000,0)+0.05*MAX($I20+$J20+$K20-50000,0)+0.05*MAX($I20+$J20+$K20-1000000,0)+0.2*MAX($I20+$J20+$K20-25000000,0),0))</f>
        <v>#DIV/0!</v>
      </c>
      <c r="W20" s="791" t="e">
        <f>INDEX($W$12:$W$13,MATCH($E20,$N$12:$N$13,0))</f>
        <v>#N/A</v>
      </c>
      <c r="X20" s="796" t="e">
        <f>$X$14*($L20+$M20)</f>
        <v>#VALUE!</v>
      </c>
      <c r="Z20" s="812">
        <f>$O$15*($I20+$J20+$K20)</f>
        <v>0</v>
      </c>
      <c r="AA20" s="813" t="e">
        <f>IF($C20="x",0,MAX(SUM($Q20,$S20:$V20)-$Z20,0))</f>
        <v>#DIV/0!</v>
      </c>
    </row>
    <row r="21" spans="1:27">
      <c r="A21" s="777"/>
      <c r="B21" s="655"/>
      <c r="C21" s="778"/>
      <c r="D21" s="653"/>
      <c r="E21" s="779"/>
      <c r="F21" s="780"/>
      <c r="G21" s="780"/>
      <c r="H21" s="780"/>
      <c r="I21" s="780"/>
      <c r="J21" s="781"/>
      <c r="K21" s="781"/>
      <c r="L21" s="781"/>
      <c r="M21" s="782"/>
      <c r="O21" s="797" t="e">
        <f>$O$7*$F21+$O$8*$G21</f>
        <v>#DIV/0!</v>
      </c>
      <c r="P21" s="798" t="e">
        <f t="shared" ref="P21:P37" si="0">$P$9*$H21</f>
        <v>#DIV/0!</v>
      </c>
      <c r="Q21" s="799" t="e">
        <f t="shared" ref="Q21:Q37" si="1">$Q$7*$F21+$Q$8*$G21</f>
        <v>#DIV/0!</v>
      </c>
      <c r="R21" s="800" t="e">
        <f t="shared" ref="R21:R37" si="2">$R$9*$H21</f>
        <v>#DIV/0!</v>
      </c>
      <c r="S21" s="799" t="e">
        <f t="shared" ref="S21:S37" si="3">$S$10*($I21+$J21)+$S$11*$K21</f>
        <v>#VALUE!</v>
      </c>
      <c r="T21" s="801" t="e">
        <f t="shared" ref="T21:T37" si="4">$T$10*($I21+$J21+$K21)</f>
        <v>#VALUE!</v>
      </c>
      <c r="U21" s="798" t="e">
        <f t="shared" ref="U21:U37" si="5">$U$10*($I21+$J21+$K21)</f>
        <v>#DIV/0!</v>
      </c>
      <c r="V21" s="798" t="e">
        <f t="shared" ref="V21:V37" si="6">$V$10*(($I21+$J21+$K21)-IF($D21="x",0.15*MAX($I21+$J21+$K21-20000,0)+0.05*MAX($I21+$J21+$K21-50000,0)+0.05*MAX($I21+$J21+$K21-1000000,0)+0.2*MAX($I21+$J21+$K21-25000000,0),0))</f>
        <v>#DIV/0!</v>
      </c>
      <c r="W21" s="799" t="e">
        <f t="shared" ref="W21:W37" si="7">INDEX($W$12:$W$13,MATCH($E21,$N$12:$N$13,0))</f>
        <v>#N/A</v>
      </c>
      <c r="X21" s="802" t="e">
        <f t="shared" ref="X21:X37" si="8">$X$14*($L21+$M21)</f>
        <v>#VALUE!</v>
      </c>
      <c r="Z21" s="803">
        <f t="shared" ref="Z21:Z37" si="9">$O$15*($I21+$J21+$K21)</f>
        <v>0</v>
      </c>
      <c r="AA21" s="802" t="e">
        <f>IF($C21="x",0,MAX(SUM($Q21,$S21:$V21)-$Z21,0))</f>
        <v>#DIV/0!</v>
      </c>
    </row>
    <row r="22" spans="1:27">
      <c r="A22" s="777"/>
      <c r="B22" s="655"/>
      <c r="C22" s="778"/>
      <c r="D22" s="653"/>
      <c r="E22" s="779"/>
      <c r="F22" s="780"/>
      <c r="G22" s="780"/>
      <c r="H22" s="780"/>
      <c r="I22" s="780"/>
      <c r="J22" s="781"/>
      <c r="K22" s="781"/>
      <c r="L22" s="781"/>
      <c r="M22" s="782"/>
      <c r="O22" s="797" t="e">
        <f>$O$7*$F22+$O$8*$G22</f>
        <v>#DIV/0!</v>
      </c>
      <c r="P22" s="798" t="e">
        <f t="shared" si="0"/>
        <v>#DIV/0!</v>
      </c>
      <c r="Q22" s="799" t="e">
        <f t="shared" si="1"/>
        <v>#DIV/0!</v>
      </c>
      <c r="R22" s="800" t="e">
        <f t="shared" si="2"/>
        <v>#DIV/0!</v>
      </c>
      <c r="S22" s="799" t="e">
        <f t="shared" si="3"/>
        <v>#VALUE!</v>
      </c>
      <c r="T22" s="801" t="e">
        <f t="shared" si="4"/>
        <v>#VALUE!</v>
      </c>
      <c r="U22" s="798" t="e">
        <f t="shared" si="5"/>
        <v>#DIV/0!</v>
      </c>
      <c r="V22" s="798" t="e">
        <f t="shared" si="6"/>
        <v>#DIV/0!</v>
      </c>
      <c r="W22" s="799" t="e">
        <f t="shared" si="7"/>
        <v>#N/A</v>
      </c>
      <c r="X22" s="802" t="e">
        <f t="shared" si="8"/>
        <v>#VALUE!</v>
      </c>
      <c r="Z22" s="803">
        <f t="shared" si="9"/>
        <v>0</v>
      </c>
      <c r="AA22" s="802" t="e">
        <f>IF($C22="x",0,MAX(SUM($Q22,$S22:$V22)-$Z22,0))</f>
        <v>#DIV/0!</v>
      </c>
    </row>
    <row r="23" spans="1:27">
      <c r="A23" s="777"/>
      <c r="B23" s="655"/>
      <c r="C23" s="778"/>
      <c r="D23" s="653"/>
      <c r="E23" s="779"/>
      <c r="F23" s="780"/>
      <c r="G23" s="780"/>
      <c r="H23" s="780"/>
      <c r="I23" s="780"/>
      <c r="J23" s="781"/>
      <c r="K23" s="781"/>
      <c r="L23" s="781"/>
      <c r="M23" s="782"/>
      <c r="O23" s="797" t="e">
        <f>$O$7*$F23+$O$8*$G23</f>
        <v>#DIV/0!</v>
      </c>
      <c r="P23" s="798" t="e">
        <f t="shared" si="0"/>
        <v>#DIV/0!</v>
      </c>
      <c r="Q23" s="799" t="e">
        <f t="shared" si="1"/>
        <v>#DIV/0!</v>
      </c>
      <c r="R23" s="800" t="e">
        <f t="shared" si="2"/>
        <v>#DIV/0!</v>
      </c>
      <c r="S23" s="799" t="e">
        <f t="shared" si="3"/>
        <v>#VALUE!</v>
      </c>
      <c r="T23" s="801" t="e">
        <f t="shared" si="4"/>
        <v>#VALUE!</v>
      </c>
      <c r="U23" s="798" t="e">
        <f t="shared" si="5"/>
        <v>#DIV/0!</v>
      </c>
      <c r="V23" s="798" t="e">
        <f t="shared" si="6"/>
        <v>#DIV/0!</v>
      </c>
      <c r="W23" s="799" t="e">
        <f t="shared" si="7"/>
        <v>#N/A</v>
      </c>
      <c r="X23" s="802" t="e">
        <f t="shared" si="8"/>
        <v>#VALUE!</v>
      </c>
      <c r="Z23" s="803">
        <f t="shared" si="9"/>
        <v>0</v>
      </c>
      <c r="AA23" s="802" t="e">
        <f>IF($C23="x",0,MAX(SUM($Q23,$S23:$V23)-$Z23,0))</f>
        <v>#DIV/0!</v>
      </c>
    </row>
    <row r="24" spans="1:27">
      <c r="A24" s="777"/>
      <c r="B24" s="655"/>
      <c r="C24" s="778"/>
      <c r="D24" s="653"/>
      <c r="E24" s="779"/>
      <c r="F24" s="780"/>
      <c r="G24" s="780"/>
      <c r="H24" s="780"/>
      <c r="I24" s="780"/>
      <c r="J24" s="781"/>
      <c r="K24" s="781"/>
      <c r="L24" s="781"/>
      <c r="M24" s="782"/>
      <c r="O24" s="803" t="e">
        <f>$O$7*$F24+$O$8*$G24</f>
        <v>#DIV/0!</v>
      </c>
      <c r="P24" s="798" t="e">
        <f t="shared" si="0"/>
        <v>#DIV/0!</v>
      </c>
      <c r="Q24" s="799" t="e">
        <f t="shared" si="1"/>
        <v>#DIV/0!</v>
      </c>
      <c r="R24" s="800" t="e">
        <f t="shared" si="2"/>
        <v>#DIV/0!</v>
      </c>
      <c r="S24" s="799" t="e">
        <f t="shared" si="3"/>
        <v>#VALUE!</v>
      </c>
      <c r="T24" s="801" t="e">
        <f t="shared" si="4"/>
        <v>#VALUE!</v>
      </c>
      <c r="U24" s="798" t="e">
        <f t="shared" si="5"/>
        <v>#DIV/0!</v>
      </c>
      <c r="V24" s="798" t="e">
        <f t="shared" si="6"/>
        <v>#DIV/0!</v>
      </c>
      <c r="W24" s="799" t="e">
        <f t="shared" si="7"/>
        <v>#N/A</v>
      </c>
      <c r="X24" s="802" t="e">
        <f t="shared" si="8"/>
        <v>#VALUE!</v>
      </c>
      <c r="Z24" s="803">
        <f t="shared" si="9"/>
        <v>0</v>
      </c>
      <c r="AA24" s="802" t="e">
        <f>IF($C24="x",0,MAX(SUM($Q24,$S24:$V24)-$Z24,0))</f>
        <v>#DIV/0!</v>
      </c>
    </row>
    <row r="25" spans="1:27">
      <c r="A25" s="777"/>
      <c r="B25" s="655"/>
      <c r="C25" s="778"/>
      <c r="D25" s="653"/>
      <c r="E25" s="779"/>
      <c r="F25" s="780"/>
      <c r="G25" s="780"/>
      <c r="H25" s="780"/>
      <c r="I25" s="780"/>
      <c r="J25" s="781"/>
      <c r="K25" s="781"/>
      <c r="L25" s="781"/>
      <c r="M25" s="782"/>
      <c r="O25" s="803" t="e">
        <f t="shared" ref="O25:O37" si="10">$O$7*$F25+$O$8*$G25</f>
        <v>#DIV/0!</v>
      </c>
      <c r="P25" s="798" t="e">
        <f t="shared" si="0"/>
        <v>#DIV/0!</v>
      </c>
      <c r="Q25" s="799" t="e">
        <f t="shared" si="1"/>
        <v>#DIV/0!</v>
      </c>
      <c r="R25" s="800" t="e">
        <f t="shared" si="2"/>
        <v>#DIV/0!</v>
      </c>
      <c r="S25" s="799" t="e">
        <f t="shared" si="3"/>
        <v>#VALUE!</v>
      </c>
      <c r="T25" s="801" t="e">
        <f t="shared" si="4"/>
        <v>#VALUE!</v>
      </c>
      <c r="U25" s="798" t="e">
        <f t="shared" si="5"/>
        <v>#DIV/0!</v>
      </c>
      <c r="V25" s="798" t="e">
        <f t="shared" si="6"/>
        <v>#DIV/0!</v>
      </c>
      <c r="W25" s="799" t="e">
        <f t="shared" si="7"/>
        <v>#N/A</v>
      </c>
      <c r="X25" s="802" t="e">
        <f t="shared" si="8"/>
        <v>#VALUE!</v>
      </c>
      <c r="Z25" s="803">
        <f t="shared" si="9"/>
        <v>0</v>
      </c>
      <c r="AA25" s="802" t="e">
        <f t="shared" ref="AA25:AA37" si="11">IF($C25="x",0,MAX(SUM($Q25,$S25:$V25)-$Z25,0))</f>
        <v>#DIV/0!</v>
      </c>
    </row>
    <row r="26" spans="1:27">
      <c r="A26" s="777"/>
      <c r="B26" s="655"/>
      <c r="C26" s="778"/>
      <c r="D26" s="653"/>
      <c r="E26" s="779"/>
      <c r="F26" s="780"/>
      <c r="G26" s="780"/>
      <c r="H26" s="780"/>
      <c r="I26" s="780"/>
      <c r="J26" s="781"/>
      <c r="K26" s="781"/>
      <c r="L26" s="781"/>
      <c r="M26" s="782"/>
      <c r="O26" s="803" t="e">
        <f t="shared" si="10"/>
        <v>#DIV/0!</v>
      </c>
      <c r="P26" s="798" t="e">
        <f t="shared" si="0"/>
        <v>#DIV/0!</v>
      </c>
      <c r="Q26" s="799" t="e">
        <f t="shared" si="1"/>
        <v>#DIV/0!</v>
      </c>
      <c r="R26" s="800" t="e">
        <f t="shared" si="2"/>
        <v>#DIV/0!</v>
      </c>
      <c r="S26" s="799" t="e">
        <f t="shared" si="3"/>
        <v>#VALUE!</v>
      </c>
      <c r="T26" s="801" t="e">
        <f t="shared" si="4"/>
        <v>#VALUE!</v>
      </c>
      <c r="U26" s="798" t="e">
        <f t="shared" si="5"/>
        <v>#DIV/0!</v>
      </c>
      <c r="V26" s="798" t="e">
        <f t="shared" si="6"/>
        <v>#DIV/0!</v>
      </c>
      <c r="W26" s="799" t="e">
        <f t="shared" si="7"/>
        <v>#N/A</v>
      </c>
      <c r="X26" s="802" t="e">
        <f t="shared" si="8"/>
        <v>#VALUE!</v>
      </c>
      <c r="Z26" s="803">
        <f t="shared" si="9"/>
        <v>0</v>
      </c>
      <c r="AA26" s="802" t="e">
        <f t="shared" si="11"/>
        <v>#DIV/0!</v>
      </c>
    </row>
    <row r="27" spans="1:27">
      <c r="A27" s="777"/>
      <c r="B27" s="655"/>
      <c r="C27" s="778"/>
      <c r="D27" s="653"/>
      <c r="E27" s="779"/>
      <c r="F27" s="780"/>
      <c r="G27" s="780"/>
      <c r="H27" s="780"/>
      <c r="I27" s="780"/>
      <c r="J27" s="781"/>
      <c r="K27" s="781"/>
      <c r="L27" s="781"/>
      <c r="M27" s="782"/>
      <c r="O27" s="803" t="e">
        <f t="shared" si="10"/>
        <v>#DIV/0!</v>
      </c>
      <c r="P27" s="798" t="e">
        <f t="shared" si="0"/>
        <v>#DIV/0!</v>
      </c>
      <c r="Q27" s="799" t="e">
        <f t="shared" si="1"/>
        <v>#DIV/0!</v>
      </c>
      <c r="R27" s="800" t="e">
        <f t="shared" si="2"/>
        <v>#DIV/0!</v>
      </c>
      <c r="S27" s="799" t="e">
        <f t="shared" si="3"/>
        <v>#VALUE!</v>
      </c>
      <c r="T27" s="801" t="e">
        <f t="shared" si="4"/>
        <v>#VALUE!</v>
      </c>
      <c r="U27" s="798" t="e">
        <f t="shared" si="5"/>
        <v>#DIV/0!</v>
      </c>
      <c r="V27" s="798" t="e">
        <f t="shared" si="6"/>
        <v>#DIV/0!</v>
      </c>
      <c r="W27" s="799" t="e">
        <f t="shared" si="7"/>
        <v>#N/A</v>
      </c>
      <c r="X27" s="802" t="e">
        <f t="shared" si="8"/>
        <v>#VALUE!</v>
      </c>
      <c r="Z27" s="803">
        <f t="shared" si="9"/>
        <v>0</v>
      </c>
      <c r="AA27" s="802" t="e">
        <f t="shared" si="11"/>
        <v>#DIV/0!</v>
      </c>
    </row>
    <row r="28" spans="1:27">
      <c r="A28" s="777"/>
      <c r="B28" s="655"/>
      <c r="C28" s="778"/>
      <c r="D28" s="653"/>
      <c r="E28" s="779"/>
      <c r="F28" s="780"/>
      <c r="G28" s="780"/>
      <c r="H28" s="780"/>
      <c r="I28" s="780"/>
      <c r="J28" s="781"/>
      <c r="K28" s="781"/>
      <c r="L28" s="781"/>
      <c r="M28" s="782"/>
      <c r="O28" s="803" t="e">
        <f t="shared" si="10"/>
        <v>#DIV/0!</v>
      </c>
      <c r="P28" s="798" t="e">
        <f t="shared" si="0"/>
        <v>#DIV/0!</v>
      </c>
      <c r="Q28" s="799" t="e">
        <f t="shared" si="1"/>
        <v>#DIV/0!</v>
      </c>
      <c r="R28" s="800" t="e">
        <f t="shared" si="2"/>
        <v>#DIV/0!</v>
      </c>
      <c r="S28" s="799" t="e">
        <f t="shared" si="3"/>
        <v>#VALUE!</v>
      </c>
      <c r="T28" s="801" t="e">
        <f t="shared" si="4"/>
        <v>#VALUE!</v>
      </c>
      <c r="U28" s="798" t="e">
        <f t="shared" si="5"/>
        <v>#DIV/0!</v>
      </c>
      <c r="V28" s="798" t="e">
        <f t="shared" si="6"/>
        <v>#DIV/0!</v>
      </c>
      <c r="W28" s="799" t="e">
        <f t="shared" si="7"/>
        <v>#N/A</v>
      </c>
      <c r="X28" s="802" t="e">
        <f t="shared" si="8"/>
        <v>#VALUE!</v>
      </c>
      <c r="Z28" s="803">
        <f t="shared" si="9"/>
        <v>0</v>
      </c>
      <c r="AA28" s="802" t="e">
        <f t="shared" si="11"/>
        <v>#DIV/0!</v>
      </c>
    </row>
    <row r="29" spans="1:27">
      <c r="A29" s="777"/>
      <c r="B29" s="655"/>
      <c r="C29" s="778"/>
      <c r="D29" s="653"/>
      <c r="E29" s="779"/>
      <c r="F29" s="780"/>
      <c r="G29" s="780"/>
      <c r="H29" s="780"/>
      <c r="I29" s="780"/>
      <c r="J29" s="781"/>
      <c r="K29" s="781"/>
      <c r="L29" s="781"/>
      <c r="M29" s="782"/>
      <c r="O29" s="803" t="e">
        <f t="shared" si="10"/>
        <v>#DIV/0!</v>
      </c>
      <c r="P29" s="798" t="e">
        <f t="shared" si="0"/>
        <v>#DIV/0!</v>
      </c>
      <c r="Q29" s="799" t="e">
        <f t="shared" si="1"/>
        <v>#DIV/0!</v>
      </c>
      <c r="R29" s="800" t="e">
        <f t="shared" si="2"/>
        <v>#DIV/0!</v>
      </c>
      <c r="S29" s="799" t="e">
        <f t="shared" si="3"/>
        <v>#VALUE!</v>
      </c>
      <c r="T29" s="801" t="e">
        <f t="shared" si="4"/>
        <v>#VALUE!</v>
      </c>
      <c r="U29" s="798" t="e">
        <f t="shared" si="5"/>
        <v>#DIV/0!</v>
      </c>
      <c r="V29" s="798" t="e">
        <f t="shared" si="6"/>
        <v>#DIV/0!</v>
      </c>
      <c r="W29" s="799" t="e">
        <f t="shared" si="7"/>
        <v>#N/A</v>
      </c>
      <c r="X29" s="802" t="e">
        <f t="shared" si="8"/>
        <v>#VALUE!</v>
      </c>
      <c r="Z29" s="803">
        <f t="shared" si="9"/>
        <v>0</v>
      </c>
      <c r="AA29" s="802" t="e">
        <f t="shared" si="11"/>
        <v>#DIV/0!</v>
      </c>
    </row>
    <row r="30" spans="1:27">
      <c r="A30" s="777"/>
      <c r="B30" s="655"/>
      <c r="C30" s="778"/>
      <c r="D30" s="653"/>
      <c r="E30" s="779"/>
      <c r="F30" s="780"/>
      <c r="G30" s="780"/>
      <c r="H30" s="780"/>
      <c r="I30" s="780"/>
      <c r="J30" s="781"/>
      <c r="K30" s="781"/>
      <c r="L30" s="781"/>
      <c r="M30" s="782"/>
      <c r="O30" s="803" t="e">
        <f t="shared" si="10"/>
        <v>#DIV/0!</v>
      </c>
      <c r="P30" s="798" t="e">
        <f t="shared" si="0"/>
        <v>#DIV/0!</v>
      </c>
      <c r="Q30" s="799" t="e">
        <f t="shared" si="1"/>
        <v>#DIV/0!</v>
      </c>
      <c r="R30" s="800" t="e">
        <f t="shared" si="2"/>
        <v>#DIV/0!</v>
      </c>
      <c r="S30" s="799" t="e">
        <f t="shared" si="3"/>
        <v>#VALUE!</v>
      </c>
      <c r="T30" s="801" t="e">
        <f t="shared" si="4"/>
        <v>#VALUE!</v>
      </c>
      <c r="U30" s="798" t="e">
        <f t="shared" si="5"/>
        <v>#DIV/0!</v>
      </c>
      <c r="V30" s="798" t="e">
        <f t="shared" si="6"/>
        <v>#DIV/0!</v>
      </c>
      <c r="W30" s="799" t="e">
        <f t="shared" si="7"/>
        <v>#N/A</v>
      </c>
      <c r="X30" s="802" t="e">
        <f t="shared" si="8"/>
        <v>#VALUE!</v>
      </c>
      <c r="Z30" s="803">
        <f t="shared" si="9"/>
        <v>0</v>
      </c>
      <c r="AA30" s="802" t="e">
        <f t="shared" si="11"/>
        <v>#DIV/0!</v>
      </c>
    </row>
    <row r="31" spans="1:27">
      <c r="A31" s="777"/>
      <c r="B31" s="655"/>
      <c r="C31" s="778"/>
      <c r="D31" s="653"/>
      <c r="E31" s="779"/>
      <c r="F31" s="780"/>
      <c r="G31" s="780"/>
      <c r="H31" s="780"/>
      <c r="I31" s="780"/>
      <c r="J31" s="781"/>
      <c r="K31" s="781"/>
      <c r="L31" s="781"/>
      <c r="M31" s="782"/>
      <c r="O31" s="803" t="e">
        <f t="shared" si="10"/>
        <v>#DIV/0!</v>
      </c>
      <c r="P31" s="798" t="e">
        <f t="shared" si="0"/>
        <v>#DIV/0!</v>
      </c>
      <c r="Q31" s="799" t="e">
        <f t="shared" si="1"/>
        <v>#DIV/0!</v>
      </c>
      <c r="R31" s="800" t="e">
        <f t="shared" si="2"/>
        <v>#DIV/0!</v>
      </c>
      <c r="S31" s="799" t="e">
        <f t="shared" si="3"/>
        <v>#VALUE!</v>
      </c>
      <c r="T31" s="801" t="e">
        <f t="shared" si="4"/>
        <v>#VALUE!</v>
      </c>
      <c r="U31" s="798" t="e">
        <f t="shared" si="5"/>
        <v>#DIV/0!</v>
      </c>
      <c r="V31" s="798" t="e">
        <f t="shared" si="6"/>
        <v>#DIV/0!</v>
      </c>
      <c r="W31" s="799" t="e">
        <f t="shared" si="7"/>
        <v>#N/A</v>
      </c>
      <c r="X31" s="802" t="e">
        <f t="shared" si="8"/>
        <v>#VALUE!</v>
      </c>
      <c r="Z31" s="803">
        <f t="shared" si="9"/>
        <v>0</v>
      </c>
      <c r="AA31" s="802" t="e">
        <f t="shared" si="11"/>
        <v>#DIV/0!</v>
      </c>
    </row>
    <row r="32" spans="1:27">
      <c r="A32" s="777"/>
      <c r="B32" s="655"/>
      <c r="C32" s="778"/>
      <c r="D32" s="653"/>
      <c r="E32" s="779"/>
      <c r="F32" s="780"/>
      <c r="G32" s="780"/>
      <c r="H32" s="780"/>
      <c r="I32" s="780"/>
      <c r="J32" s="781"/>
      <c r="K32" s="781"/>
      <c r="L32" s="781"/>
      <c r="M32" s="782"/>
      <c r="O32" s="803" t="e">
        <f t="shared" si="10"/>
        <v>#DIV/0!</v>
      </c>
      <c r="P32" s="798" t="e">
        <f t="shared" si="0"/>
        <v>#DIV/0!</v>
      </c>
      <c r="Q32" s="799" t="e">
        <f t="shared" si="1"/>
        <v>#DIV/0!</v>
      </c>
      <c r="R32" s="800" t="e">
        <f t="shared" si="2"/>
        <v>#DIV/0!</v>
      </c>
      <c r="S32" s="799" t="e">
        <f t="shared" si="3"/>
        <v>#VALUE!</v>
      </c>
      <c r="T32" s="801" t="e">
        <f t="shared" si="4"/>
        <v>#VALUE!</v>
      </c>
      <c r="U32" s="798" t="e">
        <f t="shared" si="5"/>
        <v>#DIV/0!</v>
      </c>
      <c r="V32" s="798" t="e">
        <f t="shared" si="6"/>
        <v>#DIV/0!</v>
      </c>
      <c r="W32" s="799" t="e">
        <f t="shared" si="7"/>
        <v>#N/A</v>
      </c>
      <c r="X32" s="802" t="e">
        <f t="shared" si="8"/>
        <v>#VALUE!</v>
      </c>
      <c r="Z32" s="803">
        <f t="shared" si="9"/>
        <v>0</v>
      </c>
      <c r="AA32" s="802" t="e">
        <f t="shared" si="11"/>
        <v>#DIV/0!</v>
      </c>
    </row>
    <row r="33" spans="1:27">
      <c r="A33" s="777"/>
      <c r="B33" s="655"/>
      <c r="C33" s="778"/>
      <c r="D33" s="653"/>
      <c r="E33" s="779"/>
      <c r="F33" s="780"/>
      <c r="G33" s="780"/>
      <c r="H33" s="780"/>
      <c r="I33" s="780"/>
      <c r="J33" s="781"/>
      <c r="K33" s="781"/>
      <c r="L33" s="781"/>
      <c r="M33" s="782"/>
      <c r="O33" s="803" t="e">
        <f t="shared" si="10"/>
        <v>#DIV/0!</v>
      </c>
      <c r="P33" s="798" t="e">
        <f t="shared" si="0"/>
        <v>#DIV/0!</v>
      </c>
      <c r="Q33" s="799" t="e">
        <f t="shared" si="1"/>
        <v>#DIV/0!</v>
      </c>
      <c r="R33" s="800" t="e">
        <f t="shared" si="2"/>
        <v>#DIV/0!</v>
      </c>
      <c r="S33" s="799" t="e">
        <f t="shared" si="3"/>
        <v>#VALUE!</v>
      </c>
      <c r="T33" s="801" t="e">
        <f t="shared" si="4"/>
        <v>#VALUE!</v>
      </c>
      <c r="U33" s="798" t="e">
        <f t="shared" si="5"/>
        <v>#DIV/0!</v>
      </c>
      <c r="V33" s="798" t="e">
        <f t="shared" si="6"/>
        <v>#DIV/0!</v>
      </c>
      <c r="W33" s="799" t="e">
        <f t="shared" si="7"/>
        <v>#N/A</v>
      </c>
      <c r="X33" s="802" t="e">
        <f t="shared" si="8"/>
        <v>#VALUE!</v>
      </c>
      <c r="Z33" s="803">
        <f t="shared" si="9"/>
        <v>0</v>
      </c>
      <c r="AA33" s="802" t="e">
        <f t="shared" si="11"/>
        <v>#DIV/0!</v>
      </c>
    </row>
    <row r="34" spans="1:27">
      <c r="A34" s="777"/>
      <c r="B34" s="655"/>
      <c r="C34" s="778"/>
      <c r="D34" s="653"/>
      <c r="E34" s="779"/>
      <c r="F34" s="780"/>
      <c r="G34" s="780"/>
      <c r="H34" s="780"/>
      <c r="I34" s="780"/>
      <c r="J34" s="781"/>
      <c r="K34" s="781"/>
      <c r="L34" s="781"/>
      <c r="M34" s="782"/>
      <c r="O34" s="803" t="e">
        <f t="shared" si="10"/>
        <v>#DIV/0!</v>
      </c>
      <c r="P34" s="798" t="e">
        <f t="shared" si="0"/>
        <v>#DIV/0!</v>
      </c>
      <c r="Q34" s="799" t="e">
        <f t="shared" si="1"/>
        <v>#DIV/0!</v>
      </c>
      <c r="R34" s="800" t="e">
        <f t="shared" si="2"/>
        <v>#DIV/0!</v>
      </c>
      <c r="S34" s="799" t="e">
        <f t="shared" si="3"/>
        <v>#VALUE!</v>
      </c>
      <c r="T34" s="801" t="e">
        <f t="shared" si="4"/>
        <v>#VALUE!</v>
      </c>
      <c r="U34" s="798" t="e">
        <f t="shared" si="5"/>
        <v>#DIV/0!</v>
      </c>
      <c r="V34" s="798" t="e">
        <f t="shared" si="6"/>
        <v>#DIV/0!</v>
      </c>
      <c r="W34" s="799" t="e">
        <f t="shared" si="7"/>
        <v>#N/A</v>
      </c>
      <c r="X34" s="802" t="e">
        <f t="shared" si="8"/>
        <v>#VALUE!</v>
      </c>
      <c r="Z34" s="803">
        <f t="shared" si="9"/>
        <v>0</v>
      </c>
      <c r="AA34" s="802" t="e">
        <f t="shared" si="11"/>
        <v>#DIV/0!</v>
      </c>
    </row>
    <row r="35" spans="1:27">
      <c r="A35" s="777"/>
      <c r="B35" s="655"/>
      <c r="C35" s="778"/>
      <c r="D35" s="653"/>
      <c r="E35" s="779"/>
      <c r="F35" s="780"/>
      <c r="G35" s="780"/>
      <c r="H35" s="780"/>
      <c r="I35" s="780"/>
      <c r="J35" s="781"/>
      <c r="K35" s="781"/>
      <c r="L35" s="781"/>
      <c r="M35" s="782"/>
      <c r="O35" s="803" t="e">
        <f t="shared" si="10"/>
        <v>#DIV/0!</v>
      </c>
      <c r="P35" s="798" t="e">
        <f t="shared" si="0"/>
        <v>#DIV/0!</v>
      </c>
      <c r="Q35" s="799" t="e">
        <f t="shared" si="1"/>
        <v>#DIV/0!</v>
      </c>
      <c r="R35" s="800" t="e">
        <f t="shared" si="2"/>
        <v>#DIV/0!</v>
      </c>
      <c r="S35" s="799" t="e">
        <f t="shared" si="3"/>
        <v>#VALUE!</v>
      </c>
      <c r="T35" s="801" t="e">
        <f t="shared" si="4"/>
        <v>#VALUE!</v>
      </c>
      <c r="U35" s="798" t="e">
        <f t="shared" si="5"/>
        <v>#DIV/0!</v>
      </c>
      <c r="V35" s="798" t="e">
        <f t="shared" si="6"/>
        <v>#DIV/0!</v>
      </c>
      <c r="W35" s="799" t="e">
        <f t="shared" si="7"/>
        <v>#N/A</v>
      </c>
      <c r="X35" s="802" t="e">
        <f t="shared" si="8"/>
        <v>#VALUE!</v>
      </c>
      <c r="Z35" s="803">
        <f t="shared" si="9"/>
        <v>0</v>
      </c>
      <c r="AA35" s="802" t="e">
        <f t="shared" si="11"/>
        <v>#DIV/0!</v>
      </c>
    </row>
    <row r="36" spans="1:27">
      <c r="A36" s="777"/>
      <c r="B36" s="655"/>
      <c r="C36" s="778"/>
      <c r="D36" s="653"/>
      <c r="E36" s="779"/>
      <c r="F36" s="780"/>
      <c r="G36" s="780"/>
      <c r="H36" s="780"/>
      <c r="I36" s="780"/>
      <c r="J36" s="781"/>
      <c r="K36" s="781"/>
      <c r="L36" s="781"/>
      <c r="M36" s="782"/>
      <c r="O36" s="803" t="e">
        <f t="shared" si="10"/>
        <v>#DIV/0!</v>
      </c>
      <c r="P36" s="798" t="e">
        <f t="shared" si="0"/>
        <v>#DIV/0!</v>
      </c>
      <c r="Q36" s="799" t="e">
        <f t="shared" si="1"/>
        <v>#DIV/0!</v>
      </c>
      <c r="R36" s="800" t="e">
        <f t="shared" si="2"/>
        <v>#DIV/0!</v>
      </c>
      <c r="S36" s="804" t="e">
        <f t="shared" si="3"/>
        <v>#VALUE!</v>
      </c>
      <c r="T36" s="801" t="e">
        <f t="shared" si="4"/>
        <v>#VALUE!</v>
      </c>
      <c r="U36" s="798" t="e">
        <f t="shared" si="5"/>
        <v>#DIV/0!</v>
      </c>
      <c r="V36" s="798" t="e">
        <f t="shared" si="6"/>
        <v>#DIV/0!</v>
      </c>
      <c r="W36" s="799" t="e">
        <f t="shared" si="7"/>
        <v>#N/A</v>
      </c>
      <c r="X36" s="802" t="e">
        <f t="shared" si="8"/>
        <v>#VALUE!</v>
      </c>
      <c r="Z36" s="803">
        <f t="shared" si="9"/>
        <v>0</v>
      </c>
      <c r="AA36" s="802" t="e">
        <f t="shared" si="11"/>
        <v>#DIV/0!</v>
      </c>
    </row>
    <row r="37" spans="1:27">
      <c r="A37" s="777"/>
      <c r="B37" s="655"/>
      <c r="C37" s="778"/>
      <c r="D37" s="653"/>
      <c r="E37" s="779"/>
      <c r="F37" s="780"/>
      <c r="G37" s="780"/>
      <c r="H37" s="780"/>
      <c r="I37" s="780"/>
      <c r="J37" s="781"/>
      <c r="K37" s="781"/>
      <c r="L37" s="781"/>
      <c r="M37" s="782"/>
      <c r="O37" s="803" t="e">
        <f t="shared" si="10"/>
        <v>#DIV/0!</v>
      </c>
      <c r="P37" s="798" t="e">
        <f t="shared" si="0"/>
        <v>#DIV/0!</v>
      </c>
      <c r="Q37" s="799" t="e">
        <f t="shared" si="1"/>
        <v>#DIV/0!</v>
      </c>
      <c r="R37" s="800" t="e">
        <f t="shared" si="2"/>
        <v>#DIV/0!</v>
      </c>
      <c r="S37" s="799" t="e">
        <f t="shared" si="3"/>
        <v>#VALUE!</v>
      </c>
      <c r="T37" s="801" t="e">
        <f t="shared" si="4"/>
        <v>#VALUE!</v>
      </c>
      <c r="U37" s="798" t="e">
        <f t="shared" si="5"/>
        <v>#DIV/0!</v>
      </c>
      <c r="V37" s="798" t="e">
        <f t="shared" si="6"/>
        <v>#DIV/0!</v>
      </c>
      <c r="W37" s="799" t="e">
        <f t="shared" si="7"/>
        <v>#N/A</v>
      </c>
      <c r="X37" s="802" t="e">
        <f t="shared" si="8"/>
        <v>#VALUE!</v>
      </c>
      <c r="Z37" s="803">
        <f t="shared" si="9"/>
        <v>0</v>
      </c>
      <c r="AA37" s="802" t="e">
        <f t="shared" si="11"/>
        <v>#DIV/0!</v>
      </c>
    </row>
    <row r="38" spans="1:27" ht="15.75" thickBot="1">
      <c r="A38" s="783"/>
      <c r="B38" s="658"/>
      <c r="C38" s="784"/>
      <c r="D38" s="644"/>
      <c r="E38" s="785"/>
      <c r="F38" s="786"/>
      <c r="G38" s="786"/>
      <c r="H38" s="786"/>
      <c r="I38" s="786"/>
      <c r="J38" s="787"/>
      <c r="K38" s="787"/>
      <c r="L38" s="787"/>
      <c r="M38" s="788"/>
      <c r="O38" s="805" t="e">
        <f>$O$7*$F38+$O$8*$G38</f>
        <v>#DIV/0!</v>
      </c>
      <c r="P38" s="806" t="e">
        <f>$P$9*$H38</f>
        <v>#DIV/0!</v>
      </c>
      <c r="Q38" s="807" t="e">
        <f>$Q$7*$F38+$Q$8*$G38</f>
        <v>#DIV/0!</v>
      </c>
      <c r="R38" s="808" t="e">
        <f>$R$9*$H38</f>
        <v>#DIV/0!</v>
      </c>
      <c r="S38" s="807" t="e">
        <f>$S$10*($I38+$J38)+$S$11*$K38</f>
        <v>#VALUE!</v>
      </c>
      <c r="T38" s="809" t="e">
        <f>$T$10*($I38+$J38+$K38)</f>
        <v>#VALUE!</v>
      </c>
      <c r="U38" s="806" t="e">
        <f>$U$10*($I38+$J38+$K38)</f>
        <v>#DIV/0!</v>
      </c>
      <c r="V38" s="806" t="e">
        <f>$V$10*(($I38+$J38+$K38)-IF($D38="x",0.15*MAX($I38+$J38+$K38-20000,0)+0.05*MAX($I38+$J38+$K38-50000,0)+0.05*MAX($I38+$J38+$K38-1000000,0)+0.2*MAX($I38+$J38+$K38-25000000,0),0))</f>
        <v>#DIV/0!</v>
      </c>
      <c r="W38" s="810" t="e">
        <f>INDEX($W$12:$W$13,MATCH($E38,$N$12:$N$13,0))</f>
        <v>#N/A</v>
      </c>
      <c r="X38" s="811" t="e">
        <f>$X$14*($L38+$M38)</f>
        <v>#VALUE!</v>
      </c>
      <c r="Z38" s="805">
        <f>$O$15*($I38+$J38+$K38)</f>
        <v>0</v>
      </c>
      <c r="AA38" s="814" t="e">
        <f>IF($C38="x",0,MAX(SUM($Q38,$S38:$V38)-$Z38,0))</f>
        <v>#DIV/0!</v>
      </c>
    </row>
    <row r="39" spans="1:27">
      <c r="A39" s="221"/>
      <c r="B39" s="594" t="s">
        <v>102</v>
      </c>
      <c r="C39" s="131"/>
      <c r="D39" s="222"/>
      <c r="E39" s="232">
        <f>COUNTIFS($B$20:$B$38,$B39)</f>
        <v>0</v>
      </c>
      <c r="F39" s="233">
        <f t="shared" ref="F39:M40" si="12">SUMIFS(F$20:F$38,$B$20:$B$38,$B39)</f>
        <v>0</v>
      </c>
      <c r="G39" s="233">
        <f t="shared" si="12"/>
        <v>0</v>
      </c>
      <c r="H39" s="233">
        <f t="shared" si="12"/>
        <v>0</v>
      </c>
      <c r="I39" s="233">
        <f t="shared" si="12"/>
        <v>0</v>
      </c>
      <c r="J39" s="426">
        <f t="shared" si="12"/>
        <v>0</v>
      </c>
      <c r="K39" s="426">
        <f t="shared" si="12"/>
        <v>0</v>
      </c>
      <c r="L39" s="426">
        <f t="shared" si="12"/>
        <v>0</v>
      </c>
      <c r="M39" s="297">
        <f t="shared" si="12"/>
        <v>0</v>
      </c>
      <c r="O39" s="214">
        <f t="shared" ref="O39:X40" si="13">SUMIFS(O$20:O$38,$B$20:$B$38,$B39)</f>
        <v>0</v>
      </c>
      <c r="P39" s="215">
        <f t="shared" si="13"/>
        <v>0</v>
      </c>
      <c r="Q39" s="89">
        <f t="shared" si="13"/>
        <v>0</v>
      </c>
      <c r="R39" s="91">
        <f t="shared" si="13"/>
        <v>0</v>
      </c>
      <c r="S39" s="89">
        <f t="shared" si="13"/>
        <v>0</v>
      </c>
      <c r="T39" s="90">
        <f t="shared" si="13"/>
        <v>0</v>
      </c>
      <c r="U39" s="90">
        <f t="shared" si="13"/>
        <v>0</v>
      </c>
      <c r="V39" s="215">
        <f t="shared" si="13"/>
        <v>0</v>
      </c>
      <c r="W39" s="89">
        <f t="shared" si="13"/>
        <v>0</v>
      </c>
      <c r="X39" s="194">
        <f t="shared" si="13"/>
        <v>0</v>
      </c>
      <c r="Z39" s="214"/>
      <c r="AA39" s="194">
        <f>SUMIFS(AA$20:AA$38,$B$20:$B$38,$B39)</f>
        <v>0</v>
      </c>
    </row>
    <row r="40" spans="1:27" ht="15.75" thickBot="1">
      <c r="A40" s="219"/>
      <c r="B40" s="218" t="s">
        <v>133</v>
      </c>
      <c r="C40" s="580"/>
      <c r="D40" s="220"/>
      <c r="E40" s="433">
        <f>COUNTIFS($B$20:$B$38,$B40)</f>
        <v>0</v>
      </c>
      <c r="F40" s="427">
        <f t="shared" si="12"/>
        <v>0</v>
      </c>
      <c r="G40" s="427">
        <f t="shared" si="12"/>
        <v>0</v>
      </c>
      <c r="H40" s="427">
        <f t="shared" si="12"/>
        <v>0</v>
      </c>
      <c r="I40" s="427">
        <f t="shared" si="12"/>
        <v>0</v>
      </c>
      <c r="J40" s="428">
        <f t="shared" si="12"/>
        <v>0</v>
      </c>
      <c r="K40" s="428">
        <f t="shared" si="12"/>
        <v>0</v>
      </c>
      <c r="L40" s="428">
        <f t="shared" si="12"/>
        <v>0</v>
      </c>
      <c r="M40" s="429">
        <f t="shared" si="12"/>
        <v>0</v>
      </c>
      <c r="O40" s="200">
        <f t="shared" si="13"/>
        <v>0</v>
      </c>
      <c r="P40" s="201">
        <f t="shared" si="13"/>
        <v>0</v>
      </c>
      <c r="Q40" s="96">
        <f t="shared" si="13"/>
        <v>0</v>
      </c>
      <c r="R40" s="98">
        <f t="shared" si="13"/>
        <v>0</v>
      </c>
      <c r="S40" s="96">
        <f t="shared" si="13"/>
        <v>0</v>
      </c>
      <c r="T40" s="97">
        <f t="shared" si="13"/>
        <v>0</v>
      </c>
      <c r="U40" s="97">
        <f t="shared" si="13"/>
        <v>0</v>
      </c>
      <c r="V40" s="201">
        <f t="shared" si="13"/>
        <v>0</v>
      </c>
      <c r="W40" s="96">
        <f t="shared" si="13"/>
        <v>0</v>
      </c>
      <c r="X40" s="202">
        <f t="shared" si="13"/>
        <v>0</v>
      </c>
      <c r="Z40" s="200"/>
      <c r="AA40" s="202">
        <f>SUMIFS(AA$20:AA$38,$B$20:$B$38,$B40)</f>
        <v>0</v>
      </c>
    </row>
    <row r="41" spans="1:27" ht="15.75" thickBot="1">
      <c r="A41" s="1495" t="s">
        <v>11</v>
      </c>
      <c r="B41" s="1496"/>
      <c r="C41" s="1497"/>
      <c r="D41" s="582"/>
      <c r="E41" s="434">
        <f>COUNT(E$20:E$38)</f>
        <v>0</v>
      </c>
      <c r="F41" s="430">
        <f t="shared" ref="F41:M41" si="14">SUM(F$20:F$38)</f>
        <v>0</v>
      </c>
      <c r="G41" s="430">
        <f t="shared" si="14"/>
        <v>0</v>
      </c>
      <c r="H41" s="430">
        <f t="shared" si="14"/>
        <v>0</v>
      </c>
      <c r="I41" s="430">
        <f t="shared" si="14"/>
        <v>0</v>
      </c>
      <c r="J41" s="431">
        <f t="shared" si="14"/>
        <v>0</v>
      </c>
      <c r="K41" s="431">
        <f t="shared" si="14"/>
        <v>0</v>
      </c>
      <c r="L41" s="431">
        <f t="shared" si="14"/>
        <v>0</v>
      </c>
      <c r="M41" s="432">
        <f t="shared" si="14"/>
        <v>0</v>
      </c>
      <c r="O41" s="204" t="e">
        <f t="shared" ref="O41:X41" si="15">SUBTOTAL(109,O$20:O$38)</f>
        <v>#DIV/0!</v>
      </c>
      <c r="P41" s="99" t="e">
        <f t="shared" si="15"/>
        <v>#DIV/0!</v>
      </c>
      <c r="Q41" s="100" t="e">
        <f t="shared" si="15"/>
        <v>#DIV/0!</v>
      </c>
      <c r="R41" s="102" t="e">
        <f t="shared" si="15"/>
        <v>#DIV/0!</v>
      </c>
      <c r="S41" s="382" t="e">
        <f t="shared" si="15"/>
        <v>#VALUE!</v>
      </c>
      <c r="T41" s="101" t="e">
        <f t="shared" si="15"/>
        <v>#VALUE!</v>
      </c>
      <c r="U41" s="101" t="e">
        <f t="shared" si="15"/>
        <v>#DIV/0!</v>
      </c>
      <c r="V41" s="99" t="e">
        <f t="shared" si="15"/>
        <v>#DIV/0!</v>
      </c>
      <c r="W41" s="382" t="e">
        <f t="shared" si="15"/>
        <v>#N/A</v>
      </c>
      <c r="X41" s="205" t="e">
        <f t="shared" si="15"/>
        <v>#VALUE!</v>
      </c>
      <c r="Z41" s="204"/>
      <c r="AA41" s="205" t="e">
        <f>SUBTOTAL(109,AA$20:AA$38)</f>
        <v>#DIV/0!</v>
      </c>
    </row>
  </sheetData>
  <sheetProtection algorithmName="SHA-512" hashValue="5meCIVp7ALYRUh798WZNSDxAW1JmfhWpSkZUR3Vi3E8+FqPJhx72xS9sO5K2SfWNtukH6LDJEADcpTAKSLb2cQ==" saltValue="dakCpbqcwoDc+qWyZABrNA==" spinCount="100000" sheet="1" objects="1" scenarios="1" insertRows="0" deleteRows="0" sort="0" autoFilter="0"/>
  <autoFilter ref="A19:AA19" xr:uid="{23B61287-16F6-4880-A209-D67001E5335E}"/>
  <mergeCells count="15">
    <mergeCell ref="A1:X1"/>
    <mergeCell ref="A41:C41"/>
    <mergeCell ref="Z18:AA18"/>
    <mergeCell ref="Q16:R16"/>
    <mergeCell ref="O15:V15"/>
    <mergeCell ref="D4:E4"/>
    <mergeCell ref="S18:S19"/>
    <mergeCell ref="T18:T19"/>
    <mergeCell ref="V18:V19"/>
    <mergeCell ref="M7:M16"/>
    <mergeCell ref="O18:P18"/>
    <mergeCell ref="Q18:R18"/>
    <mergeCell ref="W18:W19"/>
    <mergeCell ref="X18:X19"/>
    <mergeCell ref="U18:U19"/>
  </mergeCells>
  <dataValidations count="3">
    <dataValidation type="list" allowBlank="1" showInputMessage="1" showErrorMessage="1" sqref="C20:D38" xr:uid="{00000000-0002-0000-0900-000000000000}">
      <formula1>"x"</formula1>
    </dataValidation>
    <dataValidation type="list" allowBlank="1" showInputMessage="1" showErrorMessage="1" sqref="B20:B38" xr:uid="{00000000-0002-0000-0900-000001000000}">
      <formula1>$B$39:$B$40</formula1>
    </dataValidation>
    <dataValidation type="list" allowBlank="1" showInputMessage="1" showErrorMessage="1" sqref="E20:E38" xr:uid="{77874412-B6D8-4FF4-B35B-365BD218EC6D}">
      <formula1>"AMR,MMR,DM - MR1,DM - MR3,KM"</formula1>
    </dataValidation>
  </dataValidation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3CA732-FA54-4C3F-AFB8-F77D890E6E1F}">
  <sheetPr published="0"/>
  <dimension ref="A1:AA42"/>
  <sheetViews>
    <sheetView workbookViewId="0">
      <selection activeCell="D4" sqref="D4:E4"/>
    </sheetView>
  </sheetViews>
  <sheetFormatPr defaultColWidth="20.7109375" defaultRowHeight="15"/>
  <cols>
    <col min="1" max="1" width="20.7109375" style="591"/>
    <col min="2" max="2" width="25.85546875" style="591" customWidth="1"/>
    <col min="3" max="24" width="20.7109375" style="591"/>
    <col min="25" max="25" width="5.7109375" style="591" customWidth="1"/>
    <col min="26" max="16384" width="20.7109375" style="591"/>
  </cols>
  <sheetData>
    <row r="1" spans="1:24" ht="30" customHeight="1" thickBot="1">
      <c r="A1" s="1425" t="s">
        <v>349</v>
      </c>
      <c r="B1" s="1426"/>
      <c r="C1" s="1426"/>
      <c r="D1" s="1426"/>
      <c r="E1" s="1426"/>
      <c r="F1" s="1426"/>
      <c r="G1" s="1426"/>
      <c r="H1" s="1426"/>
      <c r="I1" s="1426"/>
      <c r="J1" s="1426"/>
      <c r="K1" s="1426"/>
      <c r="L1" s="1426"/>
      <c r="M1" s="1426"/>
      <c r="N1" s="1426"/>
      <c r="O1" s="1426"/>
      <c r="P1" s="1426"/>
      <c r="Q1" s="1426"/>
      <c r="R1" s="1426"/>
      <c r="S1" s="1426"/>
      <c r="T1" s="1426"/>
      <c r="U1" s="1426"/>
      <c r="V1" s="1426"/>
      <c r="W1" s="1426"/>
      <c r="X1" s="1494"/>
    </row>
    <row r="2" spans="1:24">
      <c r="B2" s="1"/>
      <c r="C2" s="1"/>
      <c r="D2" s="1"/>
      <c r="E2" s="1"/>
      <c r="F2" s="1"/>
      <c r="G2" s="1"/>
      <c r="H2" s="1"/>
      <c r="I2" s="1"/>
      <c r="J2" s="1"/>
      <c r="K2" s="1"/>
      <c r="L2" s="1"/>
      <c r="M2" s="1"/>
      <c r="N2" s="1"/>
      <c r="O2" s="1"/>
      <c r="P2" s="1"/>
    </row>
    <row r="3" spans="1:24" ht="15.75" thickBot="1">
      <c r="B3" s="1"/>
      <c r="C3" s="1"/>
      <c r="D3" s="1"/>
      <c r="E3" s="1"/>
      <c r="F3" s="1"/>
      <c r="G3" s="1"/>
      <c r="H3" s="1"/>
      <c r="I3" s="1"/>
      <c r="J3" s="1"/>
      <c r="K3" s="1"/>
      <c r="L3" s="1"/>
      <c r="M3" s="1"/>
      <c r="N3" s="1"/>
      <c r="O3" s="1"/>
      <c r="P3" s="1"/>
    </row>
    <row r="4" spans="1:24" ht="15.75" thickBot="1">
      <c r="B4" s="129" t="s">
        <v>6</v>
      </c>
      <c r="C4" s="168"/>
      <c r="D4" s="1418" t="str">
        <f>DNB</f>
        <v>Naam distributienetbeheerder</v>
      </c>
      <c r="E4" s="1420"/>
      <c r="K4" s="168"/>
      <c r="L4" s="168"/>
      <c r="O4" s="1"/>
      <c r="P4" s="1"/>
    </row>
    <row r="6" spans="1:24" ht="15.75" thickBot="1"/>
    <row r="7" spans="1:24" ht="18">
      <c r="M7" s="1509" t="s">
        <v>152</v>
      </c>
      <c r="N7" s="210" t="s">
        <v>110</v>
      </c>
      <c r="O7" s="397" t="e">
        <f>INDEX(Tabel3B[Afnameklanten op MS (∑)],1)</f>
        <v>#VALUE!</v>
      </c>
      <c r="P7" s="398"/>
      <c r="Q7" s="399" t="e">
        <f>$O$7*$Q$16</f>
        <v>#VALUE!</v>
      </c>
      <c r="R7" s="398"/>
      <c r="S7" s="398"/>
      <c r="T7" s="398"/>
      <c r="U7" s="400"/>
      <c r="V7" s="400"/>
      <c r="W7" s="401"/>
      <c r="X7" s="402"/>
    </row>
    <row r="8" spans="1:24" ht="18">
      <c r="M8" s="1510"/>
      <c r="N8" s="211" t="s">
        <v>111</v>
      </c>
      <c r="O8" s="403" t="e">
        <f>INDEX(Tabel3B[Afnameklanten op MS (∑)],2)</f>
        <v>#VALUE!</v>
      </c>
      <c r="P8" s="404"/>
      <c r="Q8" s="405" t="e">
        <f>$O$8*$Q$16</f>
        <v>#VALUE!</v>
      </c>
      <c r="R8" s="404"/>
      <c r="S8" s="404"/>
      <c r="T8" s="404"/>
      <c r="U8" s="406"/>
      <c r="V8" s="406"/>
      <c r="W8" s="407"/>
      <c r="X8" s="408"/>
    </row>
    <row r="9" spans="1:24" ht="18">
      <c r="M9" s="1510"/>
      <c r="N9" s="211" t="s">
        <v>112</v>
      </c>
      <c r="O9" s="407"/>
      <c r="P9" s="405" t="e">
        <f>INDEX(Tabel3B[Afnameklanten op MS (∑)],3)</f>
        <v>#VALUE!</v>
      </c>
      <c r="Q9" s="404"/>
      <c r="R9" s="405" t="e">
        <f>$P$9*$Q$16</f>
        <v>#VALUE!</v>
      </c>
      <c r="S9" s="404"/>
      <c r="T9" s="404"/>
      <c r="U9" s="406"/>
      <c r="V9" s="406"/>
      <c r="W9" s="407"/>
      <c r="X9" s="408"/>
    </row>
    <row r="10" spans="1:24" ht="18">
      <c r="M10" s="1510"/>
      <c r="N10" s="211" t="s">
        <v>115</v>
      </c>
      <c r="O10" s="409"/>
      <c r="P10" s="410"/>
      <c r="Q10" s="410"/>
      <c r="R10" s="410"/>
      <c r="S10" s="411" t="e">
        <f>INDEX(Tabel3B[Afnameklanten op MS (∑)],15)</f>
        <v>#VALUE!</v>
      </c>
      <c r="T10" s="411" t="e">
        <f>INDEX(Tabel3B[Afnameklanten op MS (∑)],17)</f>
        <v>#VALUE!</v>
      </c>
      <c r="U10" s="412" t="e">
        <f>INDEX(Tabel3B[Afnameklanten op MS (∑)],19)</f>
        <v>#DIV/0!</v>
      </c>
      <c r="V10" s="412" t="e">
        <f>INDEX(Tabel3B[Afnameklanten op MS (∑)],20)</f>
        <v>#DIV/0!</v>
      </c>
      <c r="W10" s="407"/>
      <c r="X10" s="408"/>
    </row>
    <row r="11" spans="1:24" ht="18">
      <c r="M11" s="1510"/>
      <c r="N11" s="211" t="s">
        <v>218</v>
      </c>
      <c r="O11" s="409"/>
      <c r="P11" s="410"/>
      <c r="Q11" s="410"/>
      <c r="R11" s="410"/>
      <c r="S11" s="411" t="e">
        <f>INDEX(Tabel3B[Afnameklanten op MS (∑)],16)</f>
        <v>#VALUE!</v>
      </c>
      <c r="T11" s="410"/>
      <c r="U11" s="413"/>
      <c r="V11" s="413"/>
      <c r="W11" s="407"/>
      <c r="X11" s="408"/>
    </row>
    <row r="12" spans="1:24">
      <c r="M12" s="1510"/>
      <c r="N12" s="392" t="s">
        <v>7</v>
      </c>
      <c r="O12" s="407"/>
      <c r="P12" s="404"/>
      <c r="Q12" s="404"/>
      <c r="R12" s="404"/>
      <c r="S12" s="404"/>
      <c r="T12" s="404"/>
      <c r="U12" s="406"/>
      <c r="V12" s="414"/>
      <c r="W12" s="93" t="e">
        <f>INDEX(Tabel3B[Afnameklanten op MS (∑)],9)</f>
        <v>#DIV/0!</v>
      </c>
      <c r="X12" s="408"/>
    </row>
    <row r="13" spans="1:24">
      <c r="M13" s="1510"/>
      <c r="N13" s="393" t="s">
        <v>8</v>
      </c>
      <c r="O13" s="407"/>
      <c r="P13" s="404"/>
      <c r="Q13" s="404"/>
      <c r="R13" s="404"/>
      <c r="S13" s="404"/>
      <c r="T13" s="404"/>
      <c r="U13" s="406"/>
      <c r="V13" s="414"/>
      <c r="W13" s="93" t="e">
        <f>INDEX(Tabel3B[Afnameklanten op MS (∑)],10)</f>
        <v>#DIV/0!</v>
      </c>
      <c r="X13" s="408"/>
    </row>
    <row r="14" spans="1:24" ht="15.75" thickBot="1">
      <c r="M14" s="1510"/>
      <c r="N14" s="394" t="s">
        <v>197</v>
      </c>
      <c r="O14" s="407"/>
      <c r="P14" s="404"/>
      <c r="Q14" s="404"/>
      <c r="R14" s="404"/>
      <c r="S14" s="404"/>
      <c r="T14" s="404"/>
      <c r="U14" s="406"/>
      <c r="V14" s="414"/>
      <c r="W14" s="407"/>
      <c r="X14" s="415" t="e">
        <f>INDEX(Tabel3B[Afnameklanten op MS (∑)],8)</f>
        <v>#VALUE!</v>
      </c>
    </row>
    <row r="15" spans="1:24" ht="30" customHeight="1" thickBot="1">
      <c r="M15" s="1510"/>
      <c r="N15" s="212" t="s">
        <v>130</v>
      </c>
      <c r="O15" s="1500">
        <v>0</v>
      </c>
      <c r="P15" s="1501"/>
      <c r="Q15" s="1501"/>
      <c r="R15" s="1501"/>
      <c r="S15" s="1501"/>
      <c r="T15" s="1501"/>
      <c r="U15" s="1502"/>
      <c r="V15" s="1502"/>
      <c r="W15" s="395"/>
      <c r="X15" s="396"/>
    </row>
    <row r="16" spans="1:24" ht="30" customHeight="1" thickBot="1">
      <c r="M16" s="1511"/>
      <c r="N16" s="213" t="s">
        <v>136</v>
      </c>
      <c r="O16" s="206"/>
      <c r="P16" s="207"/>
      <c r="Q16" s="1499">
        <f>PROCENT_VERHOGING_NA_MAX</f>
        <v>1</v>
      </c>
      <c r="R16" s="1499"/>
      <c r="S16" s="207"/>
      <c r="T16" s="207"/>
      <c r="U16" s="389"/>
      <c r="V16" s="389"/>
      <c r="W16" s="208"/>
      <c r="X16" s="209"/>
    </row>
    <row r="17" spans="1:27" ht="15.75" thickBot="1"/>
    <row r="18" spans="1:27" ht="30" customHeight="1" thickBot="1">
      <c r="O18" s="1498" t="s">
        <v>137</v>
      </c>
      <c r="P18" s="1512"/>
      <c r="Q18" s="1456" t="s">
        <v>140</v>
      </c>
      <c r="R18" s="1457"/>
      <c r="S18" s="1503" t="s">
        <v>85</v>
      </c>
      <c r="T18" s="1505" t="s">
        <v>9</v>
      </c>
      <c r="U18" s="1517" t="s">
        <v>562</v>
      </c>
      <c r="V18" s="1507" t="s">
        <v>561</v>
      </c>
      <c r="W18" s="1513" t="s">
        <v>84</v>
      </c>
      <c r="X18" s="1515" t="s">
        <v>13</v>
      </c>
      <c r="Z18" s="1498" t="s">
        <v>138</v>
      </c>
      <c r="AA18" s="1452"/>
    </row>
    <row r="19" spans="1:27" ht="18.75" thickBot="1">
      <c r="A19" s="602" t="s">
        <v>146</v>
      </c>
      <c r="B19" s="183" t="s">
        <v>107</v>
      </c>
      <c r="C19" s="581" t="s">
        <v>214</v>
      </c>
      <c r="D19" s="184" t="s">
        <v>563</v>
      </c>
      <c r="E19" s="185" t="s">
        <v>25</v>
      </c>
      <c r="F19" s="186" t="s">
        <v>110</v>
      </c>
      <c r="G19" s="186" t="s">
        <v>111</v>
      </c>
      <c r="H19" s="186" t="s">
        <v>112</v>
      </c>
      <c r="I19" s="186" t="s">
        <v>343</v>
      </c>
      <c r="J19" s="383" t="s">
        <v>344</v>
      </c>
      <c r="K19" s="383" t="s">
        <v>345</v>
      </c>
      <c r="L19" s="383" t="s">
        <v>346</v>
      </c>
      <c r="M19" s="187" t="s">
        <v>347</v>
      </c>
      <c r="O19" s="188" t="s">
        <v>215</v>
      </c>
      <c r="P19" s="87" t="s">
        <v>147</v>
      </c>
      <c r="Q19" s="188" t="s">
        <v>215</v>
      </c>
      <c r="R19" s="87" t="s">
        <v>147</v>
      </c>
      <c r="S19" s="1504"/>
      <c r="T19" s="1506"/>
      <c r="U19" s="1518"/>
      <c r="V19" s="1508"/>
      <c r="W19" s="1514"/>
      <c r="X19" s="1516"/>
      <c r="Z19" s="188" t="s">
        <v>130</v>
      </c>
      <c r="AA19" s="189" t="s">
        <v>131</v>
      </c>
    </row>
    <row r="20" spans="1:27">
      <c r="A20" s="769"/>
      <c r="B20" s="770"/>
      <c r="C20" s="771"/>
      <c r="D20" s="772"/>
      <c r="E20" s="773"/>
      <c r="F20" s="774"/>
      <c r="G20" s="774"/>
      <c r="H20" s="774"/>
      <c r="I20" s="774"/>
      <c r="J20" s="775"/>
      <c r="K20" s="775"/>
      <c r="L20" s="775"/>
      <c r="M20" s="776"/>
      <c r="O20" s="789" t="e">
        <f t="shared" ref="O20:O38" si="0">IF($B20="Doorvoer op 26-1kV",FACTOR_DOORVOER,1)*($O$7*$F20+$O$8*$G20)</f>
        <v>#VALUE!</v>
      </c>
      <c r="P20" s="1226" t="e">
        <f t="shared" ref="P20:P38" si="1">IF($B20="Doorvoer op 26-1kV",FACTOR_DOORVOER,1)*($P$9*$H20)</f>
        <v>#VALUE!</v>
      </c>
      <c r="Q20" s="793" t="e">
        <f t="shared" ref="Q20:Q38" si="2">IF($B20="Doorvoer op 26-1kV",FACTOR_DOORVOER,1)*($Q$7*$F20+$Q$8*$G20)</f>
        <v>#VALUE!</v>
      </c>
      <c r="R20" s="1227" t="e">
        <f t="shared" ref="R20:R38" si="3">IF($B20="Doorvoer op 26-1kV",FACTOR_DOORVOER,1)*($R$9*$H20)</f>
        <v>#VALUE!</v>
      </c>
      <c r="S20" s="793" t="e">
        <f t="shared" ref="S20:S38" si="4">IF($B20="Doorvoer op 26-1kV",FACTOR_DOORVOER,1)*($S$10*($I20+$J20)+$S$11*$K20)</f>
        <v>#VALUE!</v>
      </c>
      <c r="T20" s="816" t="e">
        <f t="shared" ref="T20:T38" si="5">IF($B20="Doorvoer op 26-1kV",FACTOR_DOORVOER,1)*($T$10*($I20+$J20+$K20))</f>
        <v>#VALUE!</v>
      </c>
      <c r="U20" s="817" t="e">
        <f t="shared" ref="U20:U38" si="6">IF($B20="Doorvoer op 26-1kV",FACTOR_DOORVOER,1)*$U$10*($I20+$J20+$K20)</f>
        <v>#DIV/0!</v>
      </c>
      <c r="V20" s="817" t="e">
        <f t="shared" ref="V20:V38" si="7">IF($B20="Doorvoer op 26-1kV",FACTOR_DOORVOER,1)*$V$10*(($I20+$J20+$K20)-IF($D20="x",0.15*MAX($I20+$J20+$K20-20000,0)+0.05*MAX($I20+$J20+$K20-50000,0)+0.05*MAX($I20+$J20+$K20-1000000,0)+0.2*MAX($I20+$J20+$K20-25000000,0),0))</f>
        <v>#DIV/0!</v>
      </c>
      <c r="W20" s="791" t="e">
        <f t="shared" ref="W20:W38" si="8">IF($B20="Doorvoer op 26-1kV",FACTOR_DOORVOER,1)*(INDEX($W$12:$W$13,MATCH($E20,$N$12:$N$13,0)))</f>
        <v>#N/A</v>
      </c>
      <c r="X20" s="818" t="e">
        <f t="shared" ref="X20:X38" si="9">IF($B20="Doorvoer op 26-1kV",FACTOR_DOORVOER,1)*($X$14*($L20+$M20))</f>
        <v>#VALUE!</v>
      </c>
      <c r="Z20" s="812">
        <f t="shared" ref="Z20:Z38" si="10">IF($B20="Doorvoer op 26-1kV",FACTOR_DOORVOER,1)*$O$15*($I20+$J20+$K20)</f>
        <v>0</v>
      </c>
      <c r="AA20" s="813" t="e">
        <f>IF($C20="x",0,MAX(SUM($Q20,$S20:$V20)-$Z20,0))</f>
        <v>#VALUE!</v>
      </c>
    </row>
    <row r="21" spans="1:27">
      <c r="A21" s="777"/>
      <c r="B21" s="655"/>
      <c r="C21" s="778"/>
      <c r="D21" s="653"/>
      <c r="E21" s="779"/>
      <c r="F21" s="780"/>
      <c r="G21" s="780"/>
      <c r="H21" s="780"/>
      <c r="I21" s="780"/>
      <c r="J21" s="781"/>
      <c r="K21" s="781"/>
      <c r="L21" s="781"/>
      <c r="M21" s="782"/>
      <c r="O21" s="803" t="e">
        <f t="shared" si="0"/>
        <v>#VALUE!</v>
      </c>
      <c r="P21" s="798" t="e">
        <f t="shared" si="1"/>
        <v>#VALUE!</v>
      </c>
      <c r="Q21" s="799" t="e">
        <f t="shared" si="2"/>
        <v>#VALUE!</v>
      </c>
      <c r="R21" s="800" t="e">
        <f t="shared" si="3"/>
        <v>#VALUE!</v>
      </c>
      <c r="S21" s="799" t="e">
        <f t="shared" si="4"/>
        <v>#VALUE!</v>
      </c>
      <c r="T21" s="801" t="e">
        <f t="shared" si="5"/>
        <v>#VALUE!</v>
      </c>
      <c r="U21" s="798" t="e">
        <f t="shared" si="6"/>
        <v>#DIV/0!</v>
      </c>
      <c r="V21" s="1228" t="e">
        <f t="shared" si="7"/>
        <v>#DIV/0!</v>
      </c>
      <c r="W21" s="799" t="e">
        <f t="shared" si="8"/>
        <v>#N/A</v>
      </c>
      <c r="X21" s="802" t="e">
        <f t="shared" si="9"/>
        <v>#VALUE!</v>
      </c>
      <c r="Z21" s="803">
        <f t="shared" si="10"/>
        <v>0</v>
      </c>
      <c r="AA21" s="802" t="e">
        <f t="shared" ref="AA21:AA37" si="11">IF($C21="x",0,MAX(SUM($Q21,$S21:$V21)-$Z21,0))</f>
        <v>#VALUE!</v>
      </c>
    </row>
    <row r="22" spans="1:27">
      <c r="A22" s="777"/>
      <c r="B22" s="655"/>
      <c r="C22" s="778"/>
      <c r="D22" s="653"/>
      <c r="E22" s="779"/>
      <c r="F22" s="780"/>
      <c r="G22" s="780"/>
      <c r="H22" s="780"/>
      <c r="I22" s="780"/>
      <c r="J22" s="781"/>
      <c r="K22" s="781"/>
      <c r="L22" s="781"/>
      <c r="M22" s="782"/>
      <c r="O22" s="803" t="e">
        <f t="shared" si="0"/>
        <v>#VALUE!</v>
      </c>
      <c r="P22" s="798" t="e">
        <f t="shared" si="1"/>
        <v>#VALUE!</v>
      </c>
      <c r="Q22" s="799" t="e">
        <f t="shared" si="2"/>
        <v>#VALUE!</v>
      </c>
      <c r="R22" s="800" t="e">
        <f t="shared" si="3"/>
        <v>#VALUE!</v>
      </c>
      <c r="S22" s="799" t="e">
        <f t="shared" si="4"/>
        <v>#VALUE!</v>
      </c>
      <c r="T22" s="801" t="e">
        <f t="shared" si="5"/>
        <v>#VALUE!</v>
      </c>
      <c r="U22" s="798" t="e">
        <f t="shared" si="6"/>
        <v>#DIV/0!</v>
      </c>
      <c r="V22" s="798" t="e">
        <f t="shared" si="7"/>
        <v>#DIV/0!</v>
      </c>
      <c r="W22" s="799" t="e">
        <f t="shared" si="8"/>
        <v>#N/A</v>
      </c>
      <c r="X22" s="802" t="e">
        <f t="shared" si="9"/>
        <v>#VALUE!</v>
      </c>
      <c r="Z22" s="803">
        <f t="shared" si="10"/>
        <v>0</v>
      </c>
      <c r="AA22" s="802" t="e">
        <f t="shared" si="11"/>
        <v>#VALUE!</v>
      </c>
    </row>
    <row r="23" spans="1:27">
      <c r="A23" s="777"/>
      <c r="B23" s="655"/>
      <c r="C23" s="778"/>
      <c r="D23" s="653"/>
      <c r="E23" s="779"/>
      <c r="F23" s="780"/>
      <c r="G23" s="780"/>
      <c r="H23" s="780"/>
      <c r="I23" s="780"/>
      <c r="J23" s="781"/>
      <c r="K23" s="781"/>
      <c r="L23" s="781"/>
      <c r="M23" s="782"/>
      <c r="O23" s="803" t="e">
        <f t="shared" si="0"/>
        <v>#VALUE!</v>
      </c>
      <c r="P23" s="798" t="e">
        <f t="shared" si="1"/>
        <v>#VALUE!</v>
      </c>
      <c r="Q23" s="799" t="e">
        <f t="shared" si="2"/>
        <v>#VALUE!</v>
      </c>
      <c r="R23" s="800" t="e">
        <f t="shared" si="3"/>
        <v>#VALUE!</v>
      </c>
      <c r="S23" s="799" t="e">
        <f t="shared" si="4"/>
        <v>#VALUE!</v>
      </c>
      <c r="T23" s="801" t="e">
        <f t="shared" si="5"/>
        <v>#VALUE!</v>
      </c>
      <c r="U23" s="798" t="e">
        <f t="shared" si="6"/>
        <v>#DIV/0!</v>
      </c>
      <c r="V23" s="798" t="e">
        <f t="shared" si="7"/>
        <v>#DIV/0!</v>
      </c>
      <c r="W23" s="799" t="e">
        <f t="shared" si="8"/>
        <v>#N/A</v>
      </c>
      <c r="X23" s="802" t="e">
        <f t="shared" si="9"/>
        <v>#VALUE!</v>
      </c>
      <c r="Z23" s="803">
        <f t="shared" si="10"/>
        <v>0</v>
      </c>
      <c r="AA23" s="802" t="e">
        <f t="shared" si="11"/>
        <v>#VALUE!</v>
      </c>
    </row>
    <row r="24" spans="1:27">
      <c r="A24" s="777"/>
      <c r="B24" s="655"/>
      <c r="C24" s="778"/>
      <c r="D24" s="653"/>
      <c r="E24" s="779"/>
      <c r="F24" s="780"/>
      <c r="G24" s="780"/>
      <c r="H24" s="780"/>
      <c r="I24" s="780"/>
      <c r="J24" s="781"/>
      <c r="K24" s="781"/>
      <c r="L24" s="781"/>
      <c r="M24" s="782"/>
      <c r="O24" s="803" t="e">
        <f t="shared" si="0"/>
        <v>#VALUE!</v>
      </c>
      <c r="P24" s="798" t="e">
        <f t="shared" si="1"/>
        <v>#VALUE!</v>
      </c>
      <c r="Q24" s="799" t="e">
        <f t="shared" si="2"/>
        <v>#VALUE!</v>
      </c>
      <c r="R24" s="800" t="e">
        <f t="shared" si="3"/>
        <v>#VALUE!</v>
      </c>
      <c r="S24" s="799" t="e">
        <f t="shared" si="4"/>
        <v>#VALUE!</v>
      </c>
      <c r="T24" s="801" t="e">
        <f t="shared" si="5"/>
        <v>#VALUE!</v>
      </c>
      <c r="U24" s="798" t="e">
        <f t="shared" si="6"/>
        <v>#DIV/0!</v>
      </c>
      <c r="V24" s="798" t="e">
        <f t="shared" si="7"/>
        <v>#DIV/0!</v>
      </c>
      <c r="W24" s="799" t="e">
        <f t="shared" si="8"/>
        <v>#N/A</v>
      </c>
      <c r="X24" s="802" t="e">
        <f t="shared" si="9"/>
        <v>#VALUE!</v>
      </c>
      <c r="Z24" s="803">
        <f t="shared" si="10"/>
        <v>0</v>
      </c>
      <c r="AA24" s="802" t="e">
        <f t="shared" si="11"/>
        <v>#VALUE!</v>
      </c>
    </row>
    <row r="25" spans="1:27">
      <c r="A25" s="777"/>
      <c r="B25" s="655"/>
      <c r="C25" s="778"/>
      <c r="D25" s="653"/>
      <c r="E25" s="779"/>
      <c r="F25" s="780"/>
      <c r="G25" s="780"/>
      <c r="H25" s="780"/>
      <c r="I25" s="780"/>
      <c r="J25" s="781"/>
      <c r="K25" s="781"/>
      <c r="L25" s="781"/>
      <c r="M25" s="782"/>
      <c r="O25" s="803" t="e">
        <f t="shared" si="0"/>
        <v>#VALUE!</v>
      </c>
      <c r="P25" s="798" t="e">
        <f t="shared" si="1"/>
        <v>#VALUE!</v>
      </c>
      <c r="Q25" s="799" t="e">
        <f t="shared" si="2"/>
        <v>#VALUE!</v>
      </c>
      <c r="R25" s="800" t="e">
        <f t="shared" si="3"/>
        <v>#VALUE!</v>
      </c>
      <c r="S25" s="799" t="e">
        <f t="shared" si="4"/>
        <v>#VALUE!</v>
      </c>
      <c r="T25" s="801" t="e">
        <f t="shared" si="5"/>
        <v>#VALUE!</v>
      </c>
      <c r="U25" s="798" t="e">
        <f t="shared" si="6"/>
        <v>#DIV/0!</v>
      </c>
      <c r="V25" s="798" t="e">
        <f t="shared" si="7"/>
        <v>#DIV/0!</v>
      </c>
      <c r="W25" s="799" t="e">
        <f t="shared" si="8"/>
        <v>#N/A</v>
      </c>
      <c r="X25" s="802" t="e">
        <f t="shared" si="9"/>
        <v>#VALUE!</v>
      </c>
      <c r="Z25" s="803">
        <f t="shared" si="10"/>
        <v>0</v>
      </c>
      <c r="AA25" s="802" t="e">
        <f t="shared" si="11"/>
        <v>#VALUE!</v>
      </c>
    </row>
    <row r="26" spans="1:27">
      <c r="A26" s="777"/>
      <c r="B26" s="655"/>
      <c r="C26" s="778"/>
      <c r="D26" s="653"/>
      <c r="E26" s="779"/>
      <c r="F26" s="780"/>
      <c r="G26" s="780"/>
      <c r="H26" s="780"/>
      <c r="I26" s="780"/>
      <c r="J26" s="781"/>
      <c r="K26" s="781"/>
      <c r="L26" s="781"/>
      <c r="M26" s="782"/>
      <c r="O26" s="803" t="e">
        <f t="shared" si="0"/>
        <v>#VALUE!</v>
      </c>
      <c r="P26" s="798" t="e">
        <f t="shared" si="1"/>
        <v>#VALUE!</v>
      </c>
      <c r="Q26" s="799" t="e">
        <f t="shared" si="2"/>
        <v>#VALUE!</v>
      </c>
      <c r="R26" s="800" t="e">
        <f t="shared" si="3"/>
        <v>#VALUE!</v>
      </c>
      <c r="S26" s="799" t="e">
        <f t="shared" si="4"/>
        <v>#VALUE!</v>
      </c>
      <c r="T26" s="801" t="e">
        <f t="shared" si="5"/>
        <v>#VALUE!</v>
      </c>
      <c r="U26" s="798" t="e">
        <f t="shared" si="6"/>
        <v>#DIV/0!</v>
      </c>
      <c r="V26" s="798" t="e">
        <f t="shared" si="7"/>
        <v>#DIV/0!</v>
      </c>
      <c r="W26" s="799" t="e">
        <f t="shared" si="8"/>
        <v>#N/A</v>
      </c>
      <c r="X26" s="802" t="e">
        <f t="shared" si="9"/>
        <v>#VALUE!</v>
      </c>
      <c r="Z26" s="803">
        <f t="shared" si="10"/>
        <v>0</v>
      </c>
      <c r="AA26" s="802" t="e">
        <f t="shared" si="11"/>
        <v>#VALUE!</v>
      </c>
    </row>
    <row r="27" spans="1:27">
      <c r="A27" s="777"/>
      <c r="B27" s="655"/>
      <c r="C27" s="778"/>
      <c r="D27" s="653"/>
      <c r="E27" s="779"/>
      <c r="F27" s="780"/>
      <c r="G27" s="780"/>
      <c r="H27" s="780"/>
      <c r="I27" s="780"/>
      <c r="J27" s="781"/>
      <c r="K27" s="781"/>
      <c r="L27" s="781"/>
      <c r="M27" s="782"/>
      <c r="O27" s="803" t="e">
        <f t="shared" si="0"/>
        <v>#VALUE!</v>
      </c>
      <c r="P27" s="798" t="e">
        <f t="shared" si="1"/>
        <v>#VALUE!</v>
      </c>
      <c r="Q27" s="799" t="e">
        <f t="shared" si="2"/>
        <v>#VALUE!</v>
      </c>
      <c r="R27" s="800" t="e">
        <f t="shared" si="3"/>
        <v>#VALUE!</v>
      </c>
      <c r="S27" s="799" t="e">
        <f t="shared" si="4"/>
        <v>#VALUE!</v>
      </c>
      <c r="T27" s="801" t="e">
        <f t="shared" si="5"/>
        <v>#VALUE!</v>
      </c>
      <c r="U27" s="798" t="e">
        <f t="shared" si="6"/>
        <v>#DIV/0!</v>
      </c>
      <c r="V27" s="798" t="e">
        <f t="shared" si="7"/>
        <v>#DIV/0!</v>
      </c>
      <c r="W27" s="799" t="e">
        <f t="shared" si="8"/>
        <v>#N/A</v>
      </c>
      <c r="X27" s="802" t="e">
        <f t="shared" si="9"/>
        <v>#VALUE!</v>
      </c>
      <c r="Z27" s="803">
        <f t="shared" si="10"/>
        <v>0</v>
      </c>
      <c r="AA27" s="802" t="e">
        <f t="shared" si="11"/>
        <v>#VALUE!</v>
      </c>
    </row>
    <row r="28" spans="1:27">
      <c r="A28" s="777"/>
      <c r="B28" s="655"/>
      <c r="C28" s="778"/>
      <c r="D28" s="653"/>
      <c r="E28" s="779"/>
      <c r="F28" s="780"/>
      <c r="G28" s="780"/>
      <c r="H28" s="780"/>
      <c r="I28" s="780"/>
      <c r="J28" s="781"/>
      <c r="K28" s="781"/>
      <c r="L28" s="781"/>
      <c r="M28" s="782"/>
      <c r="O28" s="803" t="e">
        <f t="shared" si="0"/>
        <v>#VALUE!</v>
      </c>
      <c r="P28" s="798" t="e">
        <f t="shared" si="1"/>
        <v>#VALUE!</v>
      </c>
      <c r="Q28" s="799" t="e">
        <f t="shared" si="2"/>
        <v>#VALUE!</v>
      </c>
      <c r="R28" s="800" t="e">
        <f t="shared" si="3"/>
        <v>#VALUE!</v>
      </c>
      <c r="S28" s="799" t="e">
        <f t="shared" si="4"/>
        <v>#VALUE!</v>
      </c>
      <c r="T28" s="801" t="e">
        <f t="shared" si="5"/>
        <v>#VALUE!</v>
      </c>
      <c r="U28" s="798" t="e">
        <f t="shared" si="6"/>
        <v>#DIV/0!</v>
      </c>
      <c r="V28" s="798" t="e">
        <f t="shared" si="7"/>
        <v>#DIV/0!</v>
      </c>
      <c r="W28" s="799" t="e">
        <f t="shared" si="8"/>
        <v>#N/A</v>
      </c>
      <c r="X28" s="802" t="e">
        <f t="shared" si="9"/>
        <v>#VALUE!</v>
      </c>
      <c r="Z28" s="803">
        <f t="shared" si="10"/>
        <v>0</v>
      </c>
      <c r="AA28" s="802" t="e">
        <f t="shared" si="11"/>
        <v>#VALUE!</v>
      </c>
    </row>
    <row r="29" spans="1:27">
      <c r="A29" s="777"/>
      <c r="B29" s="655"/>
      <c r="C29" s="778"/>
      <c r="D29" s="653"/>
      <c r="E29" s="779"/>
      <c r="F29" s="780"/>
      <c r="G29" s="780"/>
      <c r="H29" s="780"/>
      <c r="I29" s="780"/>
      <c r="J29" s="781"/>
      <c r="K29" s="781"/>
      <c r="L29" s="781"/>
      <c r="M29" s="782"/>
      <c r="O29" s="803" t="e">
        <f t="shared" si="0"/>
        <v>#VALUE!</v>
      </c>
      <c r="P29" s="798" t="e">
        <f t="shared" si="1"/>
        <v>#VALUE!</v>
      </c>
      <c r="Q29" s="799" t="e">
        <f t="shared" si="2"/>
        <v>#VALUE!</v>
      </c>
      <c r="R29" s="800" t="e">
        <f t="shared" si="3"/>
        <v>#VALUE!</v>
      </c>
      <c r="S29" s="799" t="e">
        <f t="shared" si="4"/>
        <v>#VALUE!</v>
      </c>
      <c r="T29" s="801" t="e">
        <f t="shared" si="5"/>
        <v>#VALUE!</v>
      </c>
      <c r="U29" s="798" t="e">
        <f t="shared" si="6"/>
        <v>#DIV/0!</v>
      </c>
      <c r="V29" s="798" t="e">
        <f t="shared" si="7"/>
        <v>#DIV/0!</v>
      </c>
      <c r="W29" s="799" t="e">
        <f t="shared" si="8"/>
        <v>#N/A</v>
      </c>
      <c r="X29" s="802" t="e">
        <f t="shared" si="9"/>
        <v>#VALUE!</v>
      </c>
      <c r="Z29" s="803">
        <f t="shared" si="10"/>
        <v>0</v>
      </c>
      <c r="AA29" s="802" t="e">
        <f t="shared" si="11"/>
        <v>#VALUE!</v>
      </c>
    </row>
    <row r="30" spans="1:27">
      <c r="A30" s="777"/>
      <c r="B30" s="655"/>
      <c r="C30" s="778"/>
      <c r="D30" s="653"/>
      <c r="E30" s="779"/>
      <c r="F30" s="780"/>
      <c r="G30" s="780"/>
      <c r="H30" s="780"/>
      <c r="I30" s="780"/>
      <c r="J30" s="781"/>
      <c r="K30" s="781"/>
      <c r="L30" s="781"/>
      <c r="M30" s="782"/>
      <c r="O30" s="803" t="e">
        <f t="shared" si="0"/>
        <v>#VALUE!</v>
      </c>
      <c r="P30" s="798" t="e">
        <f t="shared" si="1"/>
        <v>#VALUE!</v>
      </c>
      <c r="Q30" s="799" t="e">
        <f t="shared" si="2"/>
        <v>#VALUE!</v>
      </c>
      <c r="R30" s="800" t="e">
        <f t="shared" si="3"/>
        <v>#VALUE!</v>
      </c>
      <c r="S30" s="799" t="e">
        <f t="shared" si="4"/>
        <v>#VALUE!</v>
      </c>
      <c r="T30" s="801" t="e">
        <f t="shared" si="5"/>
        <v>#VALUE!</v>
      </c>
      <c r="U30" s="798" t="e">
        <f t="shared" si="6"/>
        <v>#DIV/0!</v>
      </c>
      <c r="V30" s="798" t="e">
        <f t="shared" si="7"/>
        <v>#DIV/0!</v>
      </c>
      <c r="W30" s="799" t="e">
        <f t="shared" si="8"/>
        <v>#N/A</v>
      </c>
      <c r="X30" s="802" t="e">
        <f t="shared" si="9"/>
        <v>#VALUE!</v>
      </c>
      <c r="Z30" s="803">
        <f t="shared" si="10"/>
        <v>0</v>
      </c>
      <c r="AA30" s="802" t="e">
        <f t="shared" si="11"/>
        <v>#VALUE!</v>
      </c>
    </row>
    <row r="31" spans="1:27">
      <c r="A31" s="777"/>
      <c r="B31" s="655"/>
      <c r="C31" s="778"/>
      <c r="D31" s="653"/>
      <c r="E31" s="779"/>
      <c r="F31" s="780"/>
      <c r="G31" s="780"/>
      <c r="H31" s="780"/>
      <c r="I31" s="780"/>
      <c r="J31" s="781"/>
      <c r="K31" s="781"/>
      <c r="L31" s="781"/>
      <c r="M31" s="782"/>
      <c r="O31" s="803" t="e">
        <f t="shared" si="0"/>
        <v>#VALUE!</v>
      </c>
      <c r="P31" s="798" t="e">
        <f t="shared" si="1"/>
        <v>#VALUE!</v>
      </c>
      <c r="Q31" s="799" t="e">
        <f t="shared" si="2"/>
        <v>#VALUE!</v>
      </c>
      <c r="R31" s="800" t="e">
        <f t="shared" si="3"/>
        <v>#VALUE!</v>
      </c>
      <c r="S31" s="799" t="e">
        <f t="shared" si="4"/>
        <v>#VALUE!</v>
      </c>
      <c r="T31" s="801" t="e">
        <f t="shared" si="5"/>
        <v>#VALUE!</v>
      </c>
      <c r="U31" s="798" t="e">
        <f t="shared" si="6"/>
        <v>#DIV/0!</v>
      </c>
      <c r="V31" s="798" t="e">
        <f t="shared" si="7"/>
        <v>#DIV/0!</v>
      </c>
      <c r="W31" s="799" t="e">
        <f t="shared" si="8"/>
        <v>#N/A</v>
      </c>
      <c r="X31" s="802" t="e">
        <f t="shared" si="9"/>
        <v>#VALUE!</v>
      </c>
      <c r="Z31" s="803">
        <f t="shared" si="10"/>
        <v>0</v>
      </c>
      <c r="AA31" s="802" t="e">
        <f t="shared" si="11"/>
        <v>#VALUE!</v>
      </c>
    </row>
    <row r="32" spans="1:27">
      <c r="A32" s="777"/>
      <c r="B32" s="655"/>
      <c r="C32" s="778"/>
      <c r="D32" s="653"/>
      <c r="E32" s="779"/>
      <c r="F32" s="780"/>
      <c r="G32" s="780"/>
      <c r="H32" s="780"/>
      <c r="I32" s="780"/>
      <c r="J32" s="781"/>
      <c r="K32" s="781"/>
      <c r="L32" s="781"/>
      <c r="M32" s="782"/>
      <c r="O32" s="803" t="e">
        <f t="shared" si="0"/>
        <v>#VALUE!</v>
      </c>
      <c r="P32" s="798" t="e">
        <f t="shared" si="1"/>
        <v>#VALUE!</v>
      </c>
      <c r="Q32" s="799" t="e">
        <f t="shared" si="2"/>
        <v>#VALUE!</v>
      </c>
      <c r="R32" s="800" t="e">
        <f t="shared" si="3"/>
        <v>#VALUE!</v>
      </c>
      <c r="S32" s="799" t="e">
        <f t="shared" si="4"/>
        <v>#VALUE!</v>
      </c>
      <c r="T32" s="801" t="e">
        <f t="shared" si="5"/>
        <v>#VALUE!</v>
      </c>
      <c r="U32" s="798" t="e">
        <f t="shared" si="6"/>
        <v>#DIV/0!</v>
      </c>
      <c r="V32" s="798" t="e">
        <f t="shared" si="7"/>
        <v>#DIV/0!</v>
      </c>
      <c r="W32" s="799" t="e">
        <f t="shared" si="8"/>
        <v>#N/A</v>
      </c>
      <c r="X32" s="802" t="e">
        <f t="shared" si="9"/>
        <v>#VALUE!</v>
      </c>
      <c r="Z32" s="803">
        <f t="shared" si="10"/>
        <v>0</v>
      </c>
      <c r="AA32" s="802" t="e">
        <f t="shared" si="11"/>
        <v>#VALUE!</v>
      </c>
    </row>
    <row r="33" spans="1:27">
      <c r="A33" s="777"/>
      <c r="B33" s="655"/>
      <c r="C33" s="778"/>
      <c r="D33" s="653"/>
      <c r="E33" s="779"/>
      <c r="F33" s="780"/>
      <c r="G33" s="780"/>
      <c r="H33" s="780"/>
      <c r="I33" s="780"/>
      <c r="J33" s="781"/>
      <c r="K33" s="781"/>
      <c r="L33" s="781"/>
      <c r="M33" s="782"/>
      <c r="O33" s="803" t="e">
        <f t="shared" si="0"/>
        <v>#VALUE!</v>
      </c>
      <c r="P33" s="798" t="e">
        <f t="shared" si="1"/>
        <v>#VALUE!</v>
      </c>
      <c r="Q33" s="799" t="e">
        <f t="shared" si="2"/>
        <v>#VALUE!</v>
      </c>
      <c r="R33" s="800" t="e">
        <f t="shared" si="3"/>
        <v>#VALUE!</v>
      </c>
      <c r="S33" s="799" t="e">
        <f t="shared" si="4"/>
        <v>#VALUE!</v>
      </c>
      <c r="T33" s="801" t="e">
        <f t="shared" si="5"/>
        <v>#VALUE!</v>
      </c>
      <c r="U33" s="798" t="e">
        <f t="shared" si="6"/>
        <v>#DIV/0!</v>
      </c>
      <c r="V33" s="798" t="e">
        <f t="shared" si="7"/>
        <v>#DIV/0!</v>
      </c>
      <c r="W33" s="799" t="e">
        <f t="shared" si="8"/>
        <v>#N/A</v>
      </c>
      <c r="X33" s="802" t="e">
        <f t="shared" si="9"/>
        <v>#VALUE!</v>
      </c>
      <c r="Z33" s="803">
        <f t="shared" si="10"/>
        <v>0</v>
      </c>
      <c r="AA33" s="802" t="e">
        <f t="shared" si="11"/>
        <v>#VALUE!</v>
      </c>
    </row>
    <row r="34" spans="1:27">
      <c r="A34" s="777"/>
      <c r="B34" s="655"/>
      <c r="C34" s="778"/>
      <c r="D34" s="653"/>
      <c r="E34" s="779"/>
      <c r="F34" s="780"/>
      <c r="G34" s="780"/>
      <c r="H34" s="780"/>
      <c r="I34" s="780"/>
      <c r="J34" s="781"/>
      <c r="K34" s="781"/>
      <c r="L34" s="781"/>
      <c r="M34" s="782"/>
      <c r="O34" s="803" t="e">
        <f t="shared" si="0"/>
        <v>#VALUE!</v>
      </c>
      <c r="P34" s="798" t="e">
        <f t="shared" si="1"/>
        <v>#VALUE!</v>
      </c>
      <c r="Q34" s="799" t="e">
        <f t="shared" si="2"/>
        <v>#VALUE!</v>
      </c>
      <c r="R34" s="800" t="e">
        <f t="shared" si="3"/>
        <v>#VALUE!</v>
      </c>
      <c r="S34" s="799" t="e">
        <f t="shared" si="4"/>
        <v>#VALUE!</v>
      </c>
      <c r="T34" s="801" t="e">
        <f t="shared" si="5"/>
        <v>#VALUE!</v>
      </c>
      <c r="U34" s="798" t="e">
        <f t="shared" si="6"/>
        <v>#DIV/0!</v>
      </c>
      <c r="V34" s="798" t="e">
        <f t="shared" si="7"/>
        <v>#DIV/0!</v>
      </c>
      <c r="W34" s="799" t="e">
        <f t="shared" si="8"/>
        <v>#N/A</v>
      </c>
      <c r="X34" s="802" t="e">
        <f t="shared" si="9"/>
        <v>#VALUE!</v>
      </c>
      <c r="Z34" s="803">
        <f t="shared" si="10"/>
        <v>0</v>
      </c>
      <c r="AA34" s="802" t="e">
        <f t="shared" si="11"/>
        <v>#VALUE!</v>
      </c>
    </row>
    <row r="35" spans="1:27">
      <c r="A35" s="777"/>
      <c r="B35" s="655"/>
      <c r="C35" s="778"/>
      <c r="D35" s="653"/>
      <c r="E35" s="779"/>
      <c r="F35" s="780"/>
      <c r="G35" s="780"/>
      <c r="H35" s="780"/>
      <c r="I35" s="780"/>
      <c r="J35" s="781"/>
      <c r="K35" s="781"/>
      <c r="L35" s="781"/>
      <c r="M35" s="782"/>
      <c r="O35" s="803" t="e">
        <f t="shared" si="0"/>
        <v>#VALUE!</v>
      </c>
      <c r="P35" s="798" t="e">
        <f t="shared" si="1"/>
        <v>#VALUE!</v>
      </c>
      <c r="Q35" s="799" t="e">
        <f t="shared" si="2"/>
        <v>#VALUE!</v>
      </c>
      <c r="R35" s="800" t="e">
        <f t="shared" si="3"/>
        <v>#VALUE!</v>
      </c>
      <c r="S35" s="799" t="e">
        <f t="shared" si="4"/>
        <v>#VALUE!</v>
      </c>
      <c r="T35" s="801" t="e">
        <f t="shared" si="5"/>
        <v>#VALUE!</v>
      </c>
      <c r="U35" s="798" t="e">
        <f t="shared" si="6"/>
        <v>#DIV/0!</v>
      </c>
      <c r="V35" s="798" t="e">
        <f t="shared" si="7"/>
        <v>#DIV/0!</v>
      </c>
      <c r="W35" s="799" t="e">
        <f t="shared" si="8"/>
        <v>#N/A</v>
      </c>
      <c r="X35" s="802" t="e">
        <f t="shared" si="9"/>
        <v>#VALUE!</v>
      </c>
      <c r="Z35" s="803">
        <f t="shared" si="10"/>
        <v>0</v>
      </c>
      <c r="AA35" s="802" t="e">
        <f t="shared" si="11"/>
        <v>#VALUE!</v>
      </c>
    </row>
    <row r="36" spans="1:27">
      <c r="A36" s="777"/>
      <c r="B36" s="655"/>
      <c r="C36" s="778"/>
      <c r="D36" s="653"/>
      <c r="E36" s="779"/>
      <c r="F36" s="780"/>
      <c r="G36" s="780"/>
      <c r="H36" s="780"/>
      <c r="I36" s="780"/>
      <c r="J36" s="781"/>
      <c r="K36" s="781"/>
      <c r="L36" s="781"/>
      <c r="M36" s="782"/>
      <c r="O36" s="803" t="e">
        <f t="shared" si="0"/>
        <v>#VALUE!</v>
      </c>
      <c r="P36" s="798" t="e">
        <f t="shared" si="1"/>
        <v>#VALUE!</v>
      </c>
      <c r="Q36" s="799" t="e">
        <f t="shared" si="2"/>
        <v>#VALUE!</v>
      </c>
      <c r="R36" s="800" t="e">
        <f t="shared" si="3"/>
        <v>#VALUE!</v>
      </c>
      <c r="S36" s="799" t="e">
        <f t="shared" si="4"/>
        <v>#VALUE!</v>
      </c>
      <c r="T36" s="801" t="e">
        <f t="shared" si="5"/>
        <v>#VALUE!</v>
      </c>
      <c r="U36" s="798" t="e">
        <f t="shared" si="6"/>
        <v>#DIV/0!</v>
      </c>
      <c r="V36" s="798" t="e">
        <f t="shared" si="7"/>
        <v>#DIV/0!</v>
      </c>
      <c r="W36" s="799" t="e">
        <f t="shared" si="8"/>
        <v>#N/A</v>
      </c>
      <c r="X36" s="802" t="e">
        <f t="shared" si="9"/>
        <v>#VALUE!</v>
      </c>
      <c r="Z36" s="803">
        <f t="shared" si="10"/>
        <v>0</v>
      </c>
      <c r="AA36" s="802" t="e">
        <f t="shared" si="11"/>
        <v>#VALUE!</v>
      </c>
    </row>
    <row r="37" spans="1:27">
      <c r="A37" s="777"/>
      <c r="B37" s="655"/>
      <c r="C37" s="778"/>
      <c r="D37" s="653"/>
      <c r="E37" s="779"/>
      <c r="F37" s="780"/>
      <c r="G37" s="780"/>
      <c r="H37" s="780"/>
      <c r="I37" s="780"/>
      <c r="J37" s="781"/>
      <c r="K37" s="781"/>
      <c r="L37" s="781"/>
      <c r="M37" s="782"/>
      <c r="O37" s="803" t="e">
        <f t="shared" si="0"/>
        <v>#VALUE!</v>
      </c>
      <c r="P37" s="798" t="e">
        <f t="shared" si="1"/>
        <v>#VALUE!</v>
      </c>
      <c r="Q37" s="799" t="e">
        <f t="shared" si="2"/>
        <v>#VALUE!</v>
      </c>
      <c r="R37" s="800" t="e">
        <f t="shared" si="3"/>
        <v>#VALUE!</v>
      </c>
      <c r="S37" s="799" t="e">
        <f t="shared" si="4"/>
        <v>#VALUE!</v>
      </c>
      <c r="T37" s="801" t="e">
        <f t="shared" si="5"/>
        <v>#VALUE!</v>
      </c>
      <c r="U37" s="798" t="e">
        <f t="shared" si="6"/>
        <v>#DIV/0!</v>
      </c>
      <c r="V37" s="798" t="e">
        <f t="shared" si="7"/>
        <v>#DIV/0!</v>
      </c>
      <c r="W37" s="799" t="e">
        <f t="shared" si="8"/>
        <v>#N/A</v>
      </c>
      <c r="X37" s="802" t="e">
        <f t="shared" si="9"/>
        <v>#VALUE!</v>
      </c>
      <c r="Z37" s="803">
        <f t="shared" si="10"/>
        <v>0</v>
      </c>
      <c r="AA37" s="802" t="e">
        <f t="shared" si="11"/>
        <v>#VALUE!</v>
      </c>
    </row>
    <row r="38" spans="1:27" ht="15.75" thickBot="1">
      <c r="A38" s="783"/>
      <c r="B38" s="658"/>
      <c r="C38" s="784"/>
      <c r="D38" s="644"/>
      <c r="E38" s="785"/>
      <c r="F38" s="786"/>
      <c r="G38" s="786"/>
      <c r="H38" s="786"/>
      <c r="I38" s="786"/>
      <c r="J38" s="787"/>
      <c r="K38" s="787"/>
      <c r="L38" s="787"/>
      <c r="M38" s="788"/>
      <c r="O38" s="805" t="e">
        <f t="shared" si="0"/>
        <v>#VALUE!</v>
      </c>
      <c r="P38" s="1229" t="e">
        <f t="shared" si="1"/>
        <v>#VALUE!</v>
      </c>
      <c r="Q38" s="1230" t="e">
        <f t="shared" si="2"/>
        <v>#VALUE!</v>
      </c>
      <c r="R38" s="1231" t="e">
        <f t="shared" si="3"/>
        <v>#VALUE!</v>
      </c>
      <c r="S38" s="1230" t="e">
        <f t="shared" si="4"/>
        <v>#VALUE!</v>
      </c>
      <c r="T38" s="1232" t="e">
        <f t="shared" si="5"/>
        <v>#VALUE!</v>
      </c>
      <c r="U38" s="819" t="e">
        <f t="shared" si="6"/>
        <v>#DIV/0!</v>
      </c>
      <c r="V38" s="1229" t="e">
        <f t="shared" si="7"/>
        <v>#DIV/0!</v>
      </c>
      <c r="W38" s="810" t="e">
        <f t="shared" si="8"/>
        <v>#N/A</v>
      </c>
      <c r="X38" s="814" t="e">
        <f t="shared" si="9"/>
        <v>#VALUE!</v>
      </c>
      <c r="Z38" s="805">
        <f t="shared" si="10"/>
        <v>0</v>
      </c>
      <c r="AA38" s="814" t="e">
        <f>IF($C38="x",0,MAX(SUM($Q38,$S38:$V38)-$Z38,0))</f>
        <v>#VALUE!</v>
      </c>
    </row>
    <row r="39" spans="1:27">
      <c r="A39" s="221"/>
      <c r="B39" s="594" t="s">
        <v>133</v>
      </c>
      <c r="C39" s="131"/>
      <c r="D39" s="222"/>
      <c r="E39" s="191">
        <f>COUNTIFS($B$20:$B$38,$B39)</f>
        <v>0</v>
      </c>
      <c r="F39" s="192">
        <f t="shared" ref="F39:M41" si="12">SUMIFS(F$20:F$38,$B$20:$B$38,$B39)</f>
        <v>0</v>
      </c>
      <c r="G39" s="192">
        <f t="shared" si="12"/>
        <v>0</v>
      </c>
      <c r="H39" s="192">
        <f t="shared" si="12"/>
        <v>0</v>
      </c>
      <c r="I39" s="192">
        <f t="shared" si="12"/>
        <v>0</v>
      </c>
      <c r="J39" s="384">
        <f t="shared" si="12"/>
        <v>0</v>
      </c>
      <c r="K39" s="384">
        <f t="shared" si="12"/>
        <v>0</v>
      </c>
      <c r="L39" s="384">
        <f t="shared" si="12"/>
        <v>0</v>
      </c>
      <c r="M39" s="193">
        <f t="shared" si="12"/>
        <v>0</v>
      </c>
      <c r="O39" s="214">
        <f t="shared" ref="O39:X41" si="13">SUMIFS(O$20:O$38,$B$20:$B$38,$B39)</f>
        <v>0</v>
      </c>
      <c r="P39" s="215">
        <f t="shared" si="13"/>
        <v>0</v>
      </c>
      <c r="Q39" s="89">
        <f t="shared" si="13"/>
        <v>0</v>
      </c>
      <c r="R39" s="91">
        <f>SUMIFS(R$20:R$38,$B$20:$B$38,$B39)</f>
        <v>0</v>
      </c>
      <c r="S39" s="89">
        <f t="shared" si="13"/>
        <v>0</v>
      </c>
      <c r="T39" s="90">
        <f t="shared" si="13"/>
        <v>0</v>
      </c>
      <c r="U39" s="90">
        <f t="shared" si="13"/>
        <v>0</v>
      </c>
      <c r="V39" s="215">
        <f t="shared" si="13"/>
        <v>0</v>
      </c>
      <c r="W39" s="89">
        <f t="shared" si="13"/>
        <v>0</v>
      </c>
      <c r="X39" s="194">
        <f t="shared" si="13"/>
        <v>0</v>
      </c>
      <c r="Z39" s="214"/>
      <c r="AA39" s="194">
        <f>SUMIFS(AA$20:AA$38,$B$20:$B$38,$B39)</f>
        <v>0</v>
      </c>
    </row>
    <row r="40" spans="1:27">
      <c r="A40" s="416"/>
      <c r="B40" s="388" t="s">
        <v>269</v>
      </c>
      <c r="C40" s="295"/>
      <c r="D40" s="417"/>
      <c r="E40" s="418">
        <f>COUNTIFS($B$20:$B$38,$B40)</f>
        <v>0</v>
      </c>
      <c r="F40" s="419">
        <f t="shared" si="12"/>
        <v>0</v>
      </c>
      <c r="G40" s="419">
        <f t="shared" si="12"/>
        <v>0</v>
      </c>
      <c r="H40" s="419">
        <f t="shared" si="12"/>
        <v>0</v>
      </c>
      <c r="I40" s="419">
        <f t="shared" si="12"/>
        <v>0</v>
      </c>
      <c r="J40" s="420">
        <f t="shared" si="12"/>
        <v>0</v>
      </c>
      <c r="K40" s="420">
        <f t="shared" si="12"/>
        <v>0</v>
      </c>
      <c r="L40" s="420">
        <f t="shared" si="12"/>
        <v>0</v>
      </c>
      <c r="M40" s="421">
        <f t="shared" si="12"/>
        <v>0</v>
      </c>
      <c r="O40" s="422">
        <f t="shared" si="13"/>
        <v>0</v>
      </c>
      <c r="P40" s="423">
        <f t="shared" si="13"/>
        <v>0</v>
      </c>
      <c r="Q40" s="595">
        <f t="shared" si="13"/>
        <v>0</v>
      </c>
      <c r="R40" s="596">
        <f t="shared" si="13"/>
        <v>0</v>
      </c>
      <c r="S40" s="595">
        <f t="shared" si="13"/>
        <v>0</v>
      </c>
      <c r="T40" s="424">
        <f t="shared" si="13"/>
        <v>0</v>
      </c>
      <c r="U40" s="424">
        <f t="shared" si="13"/>
        <v>0</v>
      </c>
      <c r="V40" s="423">
        <f t="shared" si="13"/>
        <v>0</v>
      </c>
      <c r="W40" s="595">
        <f t="shared" si="13"/>
        <v>0</v>
      </c>
      <c r="X40" s="425">
        <f t="shared" si="13"/>
        <v>0</v>
      </c>
      <c r="Z40" s="422"/>
      <c r="AA40" s="425">
        <f>SUMIFS(AA$20:AA$38,$B$20:$B$38,$B40)</f>
        <v>0</v>
      </c>
    </row>
    <row r="41" spans="1:27" ht="15.75" thickBot="1">
      <c r="A41" s="219"/>
      <c r="B41" s="218" t="s">
        <v>270</v>
      </c>
      <c r="C41" s="580"/>
      <c r="D41" s="220"/>
      <c r="E41" s="197">
        <f>COUNTIFS($B$20:$B$38,$B41)</f>
        <v>0</v>
      </c>
      <c r="F41" s="198">
        <f t="shared" si="12"/>
        <v>0</v>
      </c>
      <c r="G41" s="198">
        <f t="shared" si="12"/>
        <v>0</v>
      </c>
      <c r="H41" s="198">
        <f t="shared" si="12"/>
        <v>0</v>
      </c>
      <c r="I41" s="198">
        <f t="shared" si="12"/>
        <v>0</v>
      </c>
      <c r="J41" s="385">
        <f t="shared" si="12"/>
        <v>0</v>
      </c>
      <c r="K41" s="385">
        <f t="shared" si="12"/>
        <v>0</v>
      </c>
      <c r="L41" s="385">
        <f t="shared" si="12"/>
        <v>0</v>
      </c>
      <c r="M41" s="199">
        <f t="shared" si="12"/>
        <v>0</v>
      </c>
      <c r="O41" s="200">
        <f t="shared" si="13"/>
        <v>0</v>
      </c>
      <c r="P41" s="201">
        <f t="shared" si="13"/>
        <v>0</v>
      </c>
      <c r="Q41" s="96">
        <f t="shared" si="13"/>
        <v>0</v>
      </c>
      <c r="R41" s="98">
        <f t="shared" si="13"/>
        <v>0</v>
      </c>
      <c r="S41" s="96">
        <f t="shared" si="13"/>
        <v>0</v>
      </c>
      <c r="T41" s="97">
        <f t="shared" si="13"/>
        <v>0</v>
      </c>
      <c r="U41" s="97">
        <f t="shared" si="13"/>
        <v>0</v>
      </c>
      <c r="V41" s="201">
        <f t="shared" si="13"/>
        <v>0</v>
      </c>
      <c r="W41" s="96">
        <f t="shared" si="13"/>
        <v>0</v>
      </c>
      <c r="X41" s="202">
        <f t="shared" si="13"/>
        <v>0</v>
      </c>
      <c r="Z41" s="200"/>
      <c r="AA41" s="202">
        <f>SUMIFS(AA$20:AA$38,$B$20:$B$38,$B41)</f>
        <v>0</v>
      </c>
    </row>
    <row r="42" spans="1:27" ht="15.75" thickBot="1">
      <c r="A42" s="1495" t="s">
        <v>11</v>
      </c>
      <c r="B42" s="1496"/>
      <c r="C42" s="1497"/>
      <c r="D42" s="582"/>
      <c r="E42" s="216">
        <f>COUNT(E$20:E$38)</f>
        <v>0</v>
      </c>
      <c r="F42" s="217">
        <f t="shared" ref="F42:M42" si="14">SUM(F$20:F$38)</f>
        <v>0</v>
      </c>
      <c r="G42" s="217">
        <f t="shared" si="14"/>
        <v>0</v>
      </c>
      <c r="H42" s="217">
        <f t="shared" si="14"/>
        <v>0</v>
      </c>
      <c r="I42" s="217">
        <f t="shared" si="14"/>
        <v>0</v>
      </c>
      <c r="J42" s="386">
        <f t="shared" si="14"/>
        <v>0</v>
      </c>
      <c r="K42" s="386">
        <f t="shared" si="14"/>
        <v>0</v>
      </c>
      <c r="L42" s="386">
        <f t="shared" si="14"/>
        <v>0</v>
      </c>
      <c r="M42" s="203">
        <f t="shared" si="14"/>
        <v>0</v>
      </c>
      <c r="O42" s="204" t="e">
        <f>SUBTOTAL(109,O$20:O$38)</f>
        <v>#VALUE!</v>
      </c>
      <c r="P42" s="99" t="e">
        <f>SUBTOTAL(109,P$20:P$38)</f>
        <v>#VALUE!</v>
      </c>
      <c r="Q42" s="100" t="e">
        <f t="shared" ref="Q42:X42" si="15">SUBTOTAL(109,Q$20:Q$38)</f>
        <v>#VALUE!</v>
      </c>
      <c r="R42" s="102" t="e">
        <f t="shared" ref="R42:W42" si="16">SUBTOTAL(109,R$20:R$38)</f>
        <v>#VALUE!</v>
      </c>
      <c r="S42" s="382" t="e">
        <f t="shared" si="16"/>
        <v>#VALUE!</v>
      </c>
      <c r="T42" s="101" t="e">
        <f t="shared" si="16"/>
        <v>#VALUE!</v>
      </c>
      <c r="U42" s="101" t="e">
        <f t="shared" si="16"/>
        <v>#DIV/0!</v>
      </c>
      <c r="V42" s="99" t="e">
        <f t="shared" si="16"/>
        <v>#DIV/0!</v>
      </c>
      <c r="W42" s="382" t="e">
        <f t="shared" si="16"/>
        <v>#N/A</v>
      </c>
      <c r="X42" s="205" t="e">
        <f t="shared" si="15"/>
        <v>#VALUE!</v>
      </c>
      <c r="Z42" s="204"/>
      <c r="AA42" s="205" t="e">
        <f>SUBTOTAL(109,AA$20:AA$38)</f>
        <v>#VALUE!</v>
      </c>
    </row>
  </sheetData>
  <sheetProtection algorithmName="SHA-512" hashValue="DjIAw7StprvshlmMpylx83JbabokhVdUmSebPrRWaWhhroPiAWnoDmjuWCkIprSqBS9f7Ck4MTCyowqItjNAvA==" saltValue="CZkJGvvjVLaxGIEqeDVLyw==" spinCount="100000" sheet="1" objects="1" scenarios="1" insertRows="0" deleteRows="0" sort="0" autoFilter="0"/>
  <autoFilter ref="A19:AA19" xr:uid="{8BD703B0-6FFD-4543-A8E4-C3860B7BFDAE}"/>
  <mergeCells count="15">
    <mergeCell ref="W18:W19"/>
    <mergeCell ref="X18:X19"/>
    <mergeCell ref="Z18:AA18"/>
    <mergeCell ref="A42:C42"/>
    <mergeCell ref="A1:X1"/>
    <mergeCell ref="D4:E4"/>
    <mergeCell ref="M7:M16"/>
    <mergeCell ref="O15:V15"/>
    <mergeCell ref="Q16:R16"/>
    <mergeCell ref="O18:P18"/>
    <mergeCell ref="Q18:R18"/>
    <mergeCell ref="S18:S19"/>
    <mergeCell ref="T18:T19"/>
    <mergeCell ref="V18:V19"/>
    <mergeCell ref="U18:U19"/>
  </mergeCells>
  <dataValidations count="3">
    <dataValidation type="list" allowBlank="1" showInputMessage="1" showErrorMessage="1" sqref="E20:E38" xr:uid="{D8504A52-BEF5-4E28-A935-101FE55D7276}">
      <formula1>"AMR,MMR,DM - MR1,DM - MR3,KM"</formula1>
    </dataValidation>
    <dataValidation type="list" allowBlank="1" showInputMessage="1" showErrorMessage="1" sqref="B20:B38" xr:uid="{8E91284F-0579-4515-822B-7976F6DFD629}">
      <formula1>$B$39:$B$41</formula1>
    </dataValidation>
    <dataValidation type="list" allowBlank="1" showInputMessage="1" showErrorMessage="1" sqref="C20:D38" xr:uid="{C20C462F-1908-4FCE-9AA6-0144A5D1708F}">
      <formula1>"x"</formula1>
    </dataValidation>
  </dataValidation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5D86C0-9B85-4643-8DDC-AB92814F8E8E}">
  <sheetPr published="0"/>
  <dimension ref="A1:AA40"/>
  <sheetViews>
    <sheetView workbookViewId="0">
      <selection activeCell="D4" sqref="D4:E4"/>
    </sheetView>
  </sheetViews>
  <sheetFormatPr defaultColWidth="20.7109375" defaultRowHeight="15"/>
  <cols>
    <col min="1" max="1" width="20.7109375" style="70"/>
    <col min="2" max="2" width="25.85546875" style="70" customWidth="1"/>
    <col min="3" max="24" width="20.7109375" style="70"/>
    <col min="25" max="25" width="5.7109375" style="70" customWidth="1"/>
    <col min="26" max="16384" width="20.7109375" style="70"/>
  </cols>
  <sheetData>
    <row r="1" spans="1:24" ht="30" customHeight="1" thickBot="1">
      <c r="A1" s="1425" t="s">
        <v>350</v>
      </c>
      <c r="B1" s="1426"/>
      <c r="C1" s="1426"/>
      <c r="D1" s="1426"/>
      <c r="E1" s="1426"/>
      <c r="F1" s="1426"/>
      <c r="G1" s="1426"/>
      <c r="H1" s="1426"/>
      <c r="I1" s="1426"/>
      <c r="J1" s="1426"/>
      <c r="K1" s="1426"/>
      <c r="L1" s="1426"/>
      <c r="M1" s="1426"/>
      <c r="N1" s="1426"/>
      <c r="O1" s="1426"/>
      <c r="P1" s="1426"/>
      <c r="Q1" s="1426"/>
      <c r="R1" s="1426"/>
      <c r="S1" s="1426"/>
      <c r="T1" s="1426"/>
      <c r="U1" s="1426"/>
      <c r="V1" s="1426"/>
      <c r="W1" s="1426"/>
      <c r="X1" s="1494"/>
    </row>
    <row r="2" spans="1:24">
      <c r="B2" s="675"/>
      <c r="C2" s="675"/>
      <c r="D2" s="675"/>
      <c r="E2" s="675"/>
      <c r="F2" s="675"/>
      <c r="G2" s="675"/>
      <c r="H2" s="675"/>
      <c r="I2" s="675"/>
      <c r="J2" s="675"/>
      <c r="K2" s="675"/>
      <c r="L2" s="675"/>
      <c r="M2" s="675"/>
      <c r="N2" s="675"/>
      <c r="O2" s="675"/>
      <c r="P2" s="675"/>
    </row>
    <row r="3" spans="1:24" ht="15.75" thickBot="1">
      <c r="B3" s="675"/>
      <c r="C3" s="675"/>
      <c r="D3" s="675"/>
      <c r="E3" s="675"/>
      <c r="F3" s="675"/>
      <c r="G3" s="675"/>
      <c r="H3" s="675"/>
      <c r="I3" s="675"/>
      <c r="J3" s="675"/>
      <c r="K3" s="675"/>
      <c r="L3" s="675"/>
      <c r="M3" s="675"/>
      <c r="N3" s="675"/>
      <c r="O3" s="675"/>
      <c r="P3" s="675"/>
    </row>
    <row r="4" spans="1:24" ht="15.75" thickBot="1">
      <c r="B4" s="129" t="s">
        <v>6</v>
      </c>
      <c r="C4" s="168"/>
      <c r="D4" s="1418" t="str">
        <f>DNB</f>
        <v>Naam distributienetbeheerder</v>
      </c>
      <c r="E4" s="1420"/>
      <c r="K4" s="168"/>
      <c r="L4" s="168"/>
      <c r="O4" s="675"/>
      <c r="P4" s="675"/>
    </row>
    <row r="6" spans="1:24" ht="15.75" thickBot="1"/>
    <row r="7" spans="1:24" ht="18">
      <c r="M7" s="1528" t="s">
        <v>152</v>
      </c>
      <c r="N7" s="820" t="s">
        <v>110</v>
      </c>
      <c r="O7" s="821" t="e">
        <f>INDEX(Tabel3B[Afnameklanten op TRLS (∑)],1)</f>
        <v>#VALUE!</v>
      </c>
      <c r="P7" s="822"/>
      <c r="Q7" s="823" t="e">
        <f>$O$7*$Q$16</f>
        <v>#VALUE!</v>
      </c>
      <c r="R7" s="822"/>
      <c r="S7" s="822"/>
      <c r="T7" s="822"/>
      <c r="U7" s="824"/>
      <c r="V7" s="824"/>
      <c r="W7" s="825"/>
      <c r="X7" s="826"/>
    </row>
    <row r="8" spans="1:24" ht="18">
      <c r="M8" s="1529"/>
      <c r="N8" s="827" t="s">
        <v>111</v>
      </c>
      <c r="O8" s="828" t="e">
        <f>INDEX(Tabel3B[Afnameklanten op TRLS (∑)],2)</f>
        <v>#VALUE!</v>
      </c>
      <c r="P8" s="829"/>
      <c r="Q8" s="830" t="e">
        <f>$O$8*$Q$16</f>
        <v>#VALUE!</v>
      </c>
      <c r="R8" s="829"/>
      <c r="S8" s="829"/>
      <c r="T8" s="829"/>
      <c r="U8" s="831"/>
      <c r="V8" s="831"/>
      <c r="W8" s="832"/>
      <c r="X8" s="833"/>
    </row>
    <row r="9" spans="1:24" ht="18">
      <c r="M9" s="1529"/>
      <c r="N9" s="827" t="s">
        <v>112</v>
      </c>
      <c r="O9" s="832"/>
      <c r="P9" s="834" t="e">
        <f>INDEX(Tabel3B[Afnameklanten op TRLS (∑)],3)</f>
        <v>#VALUE!</v>
      </c>
      <c r="Q9" s="829"/>
      <c r="R9" s="830" t="e">
        <f>$P$9*$Q$16</f>
        <v>#VALUE!</v>
      </c>
      <c r="S9" s="829"/>
      <c r="T9" s="829"/>
      <c r="U9" s="831"/>
      <c r="V9" s="831"/>
      <c r="W9" s="832"/>
      <c r="X9" s="833"/>
    </row>
    <row r="10" spans="1:24" ht="18">
      <c r="M10" s="1529"/>
      <c r="N10" s="827" t="s">
        <v>115</v>
      </c>
      <c r="O10" s="835"/>
      <c r="P10" s="836"/>
      <c r="Q10" s="836"/>
      <c r="R10" s="836"/>
      <c r="S10" s="837" t="e">
        <f>INDEX(Tabel3B[Afnameklanten op TRLS (∑)],15)</f>
        <v>#VALUE!</v>
      </c>
      <c r="T10" s="837" t="e">
        <f>INDEX(Tabel3B[Afnameklanten op TRLS (∑)],17)</f>
        <v>#VALUE!</v>
      </c>
      <c r="U10" s="838" t="e">
        <f>INDEX(Tabel3B[Afnameklanten op TRLS (∑)],19)</f>
        <v>#DIV/0!</v>
      </c>
      <c r="V10" s="838" t="e">
        <f>INDEX(Tabel3B[Afnameklanten op TRLS (∑)],20)</f>
        <v>#DIV/0!</v>
      </c>
      <c r="W10" s="832"/>
      <c r="X10" s="833"/>
    </row>
    <row r="11" spans="1:24" ht="18">
      <c r="M11" s="1529"/>
      <c r="N11" s="827" t="s">
        <v>218</v>
      </c>
      <c r="O11" s="835"/>
      <c r="P11" s="836"/>
      <c r="Q11" s="836"/>
      <c r="R11" s="836"/>
      <c r="S11" s="837" t="e">
        <f>INDEX(Tabel3B[Afnameklanten op TRLS (∑)],16)</f>
        <v>#VALUE!</v>
      </c>
      <c r="T11" s="836"/>
      <c r="U11" s="839"/>
      <c r="V11" s="839"/>
      <c r="W11" s="832"/>
      <c r="X11" s="833"/>
    </row>
    <row r="12" spans="1:24">
      <c r="M12" s="1529"/>
      <c r="N12" s="840" t="s">
        <v>7</v>
      </c>
      <c r="O12" s="832"/>
      <c r="P12" s="829"/>
      <c r="Q12" s="829"/>
      <c r="R12" s="829"/>
      <c r="S12" s="829"/>
      <c r="T12" s="829"/>
      <c r="U12" s="831"/>
      <c r="V12" s="841"/>
      <c r="W12" s="842" t="e">
        <f>INDEX(Tabel3B[Afnameklanten op TRLS (∑)],9)</f>
        <v>#DIV/0!</v>
      </c>
      <c r="X12" s="833"/>
    </row>
    <row r="13" spans="1:24">
      <c r="M13" s="1529"/>
      <c r="N13" s="843" t="s">
        <v>8</v>
      </c>
      <c r="O13" s="832"/>
      <c r="P13" s="829"/>
      <c r="Q13" s="829"/>
      <c r="R13" s="829"/>
      <c r="S13" s="829"/>
      <c r="T13" s="829"/>
      <c r="U13" s="831"/>
      <c r="V13" s="841"/>
      <c r="W13" s="842" t="e">
        <f>INDEX(Tabel3B[Afnameklanten op TRLS (∑)],10)</f>
        <v>#DIV/0!</v>
      </c>
      <c r="X13" s="833"/>
    </row>
    <row r="14" spans="1:24" ht="15.75" thickBot="1">
      <c r="M14" s="1529"/>
      <c r="N14" s="844" t="s">
        <v>197</v>
      </c>
      <c r="O14" s="832"/>
      <c r="P14" s="829"/>
      <c r="Q14" s="829"/>
      <c r="R14" s="829"/>
      <c r="S14" s="829"/>
      <c r="T14" s="829"/>
      <c r="U14" s="831"/>
      <c r="V14" s="841"/>
      <c r="W14" s="832"/>
      <c r="X14" s="845" t="e">
        <f>INDEX(Tabel3B[Afnameklanten op TRLS (∑)],8)</f>
        <v>#VALUE!</v>
      </c>
    </row>
    <row r="15" spans="1:24" ht="30" customHeight="1" thickBot="1">
      <c r="M15" s="1529"/>
      <c r="N15" s="846" t="s">
        <v>130</v>
      </c>
      <c r="O15" s="1500">
        <v>0</v>
      </c>
      <c r="P15" s="1501"/>
      <c r="Q15" s="1501"/>
      <c r="R15" s="1501"/>
      <c r="S15" s="1501"/>
      <c r="T15" s="1501"/>
      <c r="U15" s="1502"/>
      <c r="V15" s="1502"/>
      <c r="W15" s="847"/>
      <c r="X15" s="848"/>
    </row>
    <row r="16" spans="1:24" ht="30" customHeight="1" thickBot="1">
      <c r="M16" s="1530"/>
      <c r="N16" s="849" t="s">
        <v>136</v>
      </c>
      <c r="O16" s="850"/>
      <c r="P16" s="851"/>
      <c r="Q16" s="1531">
        <f>PROCENT_VERHOGING_NA_MAX</f>
        <v>1</v>
      </c>
      <c r="R16" s="1531"/>
      <c r="S16" s="851"/>
      <c r="T16" s="851"/>
      <c r="U16" s="852"/>
      <c r="V16" s="852"/>
      <c r="W16" s="853"/>
      <c r="X16" s="854"/>
    </row>
    <row r="17" spans="1:27" ht="15.75" thickBot="1"/>
    <row r="18" spans="1:27" ht="30" customHeight="1" thickBot="1">
      <c r="O18" s="1523" t="s">
        <v>137</v>
      </c>
      <c r="P18" s="1532"/>
      <c r="Q18" s="1533" t="s">
        <v>140</v>
      </c>
      <c r="R18" s="1534"/>
      <c r="S18" s="1535" t="s">
        <v>85</v>
      </c>
      <c r="T18" s="1537" t="s">
        <v>9</v>
      </c>
      <c r="U18" s="1541" t="s">
        <v>562</v>
      </c>
      <c r="V18" s="1539" t="s">
        <v>561</v>
      </c>
      <c r="W18" s="1519" t="s">
        <v>84</v>
      </c>
      <c r="X18" s="1521" t="s">
        <v>13</v>
      </c>
      <c r="Z18" s="1523" t="s">
        <v>138</v>
      </c>
      <c r="AA18" s="1524"/>
    </row>
    <row r="19" spans="1:27" ht="18.75" thickBot="1">
      <c r="A19" s="855" t="s">
        <v>146</v>
      </c>
      <c r="B19" s="856" t="s">
        <v>107</v>
      </c>
      <c r="C19" s="857" t="s">
        <v>214</v>
      </c>
      <c r="D19" s="858" t="s">
        <v>563</v>
      </c>
      <c r="E19" s="859" t="s">
        <v>25</v>
      </c>
      <c r="F19" s="860" t="s">
        <v>110</v>
      </c>
      <c r="G19" s="860" t="s">
        <v>111</v>
      </c>
      <c r="H19" s="860" t="s">
        <v>112</v>
      </c>
      <c r="I19" s="860" t="s">
        <v>343</v>
      </c>
      <c r="J19" s="861" t="s">
        <v>344</v>
      </c>
      <c r="K19" s="861" t="s">
        <v>345</v>
      </c>
      <c r="L19" s="861" t="s">
        <v>346</v>
      </c>
      <c r="M19" s="862" t="s">
        <v>347</v>
      </c>
      <c r="O19" s="863" t="s">
        <v>215</v>
      </c>
      <c r="P19" s="864" t="s">
        <v>147</v>
      </c>
      <c r="Q19" s="863" t="s">
        <v>215</v>
      </c>
      <c r="R19" s="864" t="s">
        <v>147</v>
      </c>
      <c r="S19" s="1536"/>
      <c r="T19" s="1538"/>
      <c r="U19" s="1542"/>
      <c r="V19" s="1540"/>
      <c r="W19" s="1520"/>
      <c r="X19" s="1522"/>
      <c r="Z19" s="863" t="s">
        <v>130</v>
      </c>
      <c r="AA19" s="865" t="s">
        <v>131</v>
      </c>
    </row>
    <row r="20" spans="1:27">
      <c r="A20" s="769"/>
      <c r="B20" s="770"/>
      <c r="C20" s="771"/>
      <c r="D20" s="772"/>
      <c r="E20" s="773"/>
      <c r="F20" s="774"/>
      <c r="G20" s="774"/>
      <c r="H20" s="774"/>
      <c r="I20" s="774"/>
      <c r="J20" s="775"/>
      <c r="K20" s="775"/>
      <c r="L20" s="775"/>
      <c r="M20" s="776"/>
      <c r="O20" s="812" t="e">
        <f>$O$7*$F20+$O$8*$G20</f>
        <v>#VALUE!</v>
      </c>
      <c r="P20" s="891" t="e">
        <f>$P$9*$H20</f>
        <v>#VALUE!</v>
      </c>
      <c r="Q20" s="791" t="e">
        <f>$Q$7*$F20+$Q$8*$G20</f>
        <v>#VALUE!</v>
      </c>
      <c r="R20" s="892" t="e">
        <f>$R$9*$H20</f>
        <v>#VALUE!</v>
      </c>
      <c r="S20" s="793" t="e">
        <f>$S$10*($I20+$J20)+$S$11*$K20</f>
        <v>#VALUE!</v>
      </c>
      <c r="T20" s="816" t="e">
        <f>$T$10*($I20+$J20+$K20)</f>
        <v>#VALUE!</v>
      </c>
      <c r="U20" s="816" t="e">
        <f>$U$10*($I20+$J20+$K20)</f>
        <v>#DIV/0!</v>
      </c>
      <c r="V20" s="817" t="e">
        <f>$V$10*(($I20+$J20+$K20)-IF($D20="x",0.15*MAX($I20+$J20+$K20-20000,0)+0.05*MAX($I20+$J20+$K20-50000,0)+0.05*MAX($I20+$J20+$K20-1000000,0)+0.2*MAX($I20+$J20+$K20-25000000,0),0))</f>
        <v>#DIV/0!</v>
      </c>
      <c r="W20" s="791" t="e">
        <f>INDEX($W$12:$W$13,MATCH($E20,$N$12:$N$13,0))</f>
        <v>#N/A</v>
      </c>
      <c r="X20" s="796" t="e">
        <f>$X$14*($L20+$M20)</f>
        <v>#VALUE!</v>
      </c>
      <c r="Z20" s="812">
        <f>$O$15*($I20+$J20+$K20)</f>
        <v>0</v>
      </c>
      <c r="AA20" s="813" t="e">
        <f>IF($C20="x",0,MAX(SUM($Q20,$S20:$V20)-$Z20,0))</f>
        <v>#VALUE!</v>
      </c>
    </row>
    <row r="21" spans="1:27">
      <c r="A21" s="777"/>
      <c r="B21" s="655"/>
      <c r="C21" s="778"/>
      <c r="D21" s="653"/>
      <c r="E21" s="779"/>
      <c r="F21" s="780"/>
      <c r="G21" s="780"/>
      <c r="H21" s="780"/>
      <c r="I21" s="780"/>
      <c r="J21" s="781"/>
      <c r="K21" s="781"/>
      <c r="L21" s="781"/>
      <c r="M21" s="782"/>
      <c r="O21" s="803" t="e">
        <f t="shared" ref="O21:O37" si="0">$O$7*$F21+$O$8*$G21</f>
        <v>#VALUE!</v>
      </c>
      <c r="P21" s="798" t="e">
        <f t="shared" ref="P21:P37" si="1">$P$9*$H21</f>
        <v>#VALUE!</v>
      </c>
      <c r="Q21" s="799" t="e">
        <f t="shared" ref="Q21:Q37" si="2">$Q$7*$F21+$Q$8*$G21</f>
        <v>#VALUE!</v>
      </c>
      <c r="R21" s="800" t="e">
        <f t="shared" ref="R21:R37" si="3">$R$9*$H21</f>
        <v>#VALUE!</v>
      </c>
      <c r="S21" s="799" t="e">
        <f t="shared" ref="S21:S37" si="4">$S$10*($I21+$J21)+$S$11*$K21</f>
        <v>#VALUE!</v>
      </c>
      <c r="T21" s="801" t="e">
        <f t="shared" ref="T21:T37" si="5">$T$10*($I21+$J21+$K21)</f>
        <v>#VALUE!</v>
      </c>
      <c r="U21" s="798" t="e">
        <f t="shared" ref="U21:U37" si="6">$U$10*($I21+$J21+$K21)</f>
        <v>#DIV/0!</v>
      </c>
      <c r="V21" s="798" t="e">
        <f t="shared" ref="V21:V37" si="7">$V$10*(($I21+$J21+$K21)-IF($D21="x",0.15*MAX($I21+$J21+$K21-20000,0)+0.05*MAX($I21+$J21+$K21-50000,0)+0.05*MAX($I21+$J21+$K21-1000000,0)+0.2*MAX($I21+$J21+$K21-25000000,0),0))</f>
        <v>#DIV/0!</v>
      </c>
      <c r="W21" s="799" t="e">
        <f t="shared" ref="W21:W37" si="8">INDEX($W$12:$W$13,MATCH($E21,$N$12:$N$13,0))</f>
        <v>#N/A</v>
      </c>
      <c r="X21" s="802" t="e">
        <f t="shared" ref="X21:X37" si="9">$X$14*($L21+$M21)</f>
        <v>#VALUE!</v>
      </c>
      <c r="Z21" s="803">
        <f t="shared" ref="Z21:Z38" si="10">$O$15*($I21+$J21+$K21)</f>
        <v>0</v>
      </c>
      <c r="AA21" s="802" t="e">
        <f t="shared" ref="AA21:AA38" si="11">IF($C21="x",0,MAX(SUM($Q21,$S21:$V21)-$Z21,0))</f>
        <v>#VALUE!</v>
      </c>
    </row>
    <row r="22" spans="1:27">
      <c r="A22" s="777"/>
      <c r="B22" s="655"/>
      <c r="C22" s="778"/>
      <c r="D22" s="653"/>
      <c r="E22" s="779"/>
      <c r="F22" s="780"/>
      <c r="G22" s="780"/>
      <c r="H22" s="780"/>
      <c r="I22" s="780"/>
      <c r="J22" s="781"/>
      <c r="K22" s="781"/>
      <c r="L22" s="781"/>
      <c r="M22" s="782"/>
      <c r="O22" s="803" t="e">
        <f t="shared" si="0"/>
        <v>#VALUE!</v>
      </c>
      <c r="P22" s="798" t="e">
        <f t="shared" si="1"/>
        <v>#VALUE!</v>
      </c>
      <c r="Q22" s="799" t="e">
        <f t="shared" si="2"/>
        <v>#VALUE!</v>
      </c>
      <c r="R22" s="800" t="e">
        <f t="shared" si="3"/>
        <v>#VALUE!</v>
      </c>
      <c r="S22" s="799" t="e">
        <f t="shared" si="4"/>
        <v>#VALUE!</v>
      </c>
      <c r="T22" s="801" t="e">
        <f t="shared" si="5"/>
        <v>#VALUE!</v>
      </c>
      <c r="U22" s="798" t="e">
        <f t="shared" si="6"/>
        <v>#DIV/0!</v>
      </c>
      <c r="V22" s="798" t="e">
        <f t="shared" si="7"/>
        <v>#DIV/0!</v>
      </c>
      <c r="W22" s="799" t="e">
        <f t="shared" si="8"/>
        <v>#N/A</v>
      </c>
      <c r="X22" s="802" t="e">
        <f t="shared" si="9"/>
        <v>#VALUE!</v>
      </c>
      <c r="Z22" s="803">
        <f t="shared" si="10"/>
        <v>0</v>
      </c>
      <c r="AA22" s="802" t="e">
        <f t="shared" si="11"/>
        <v>#VALUE!</v>
      </c>
    </row>
    <row r="23" spans="1:27">
      <c r="A23" s="777"/>
      <c r="B23" s="655"/>
      <c r="C23" s="778"/>
      <c r="D23" s="653"/>
      <c r="E23" s="779"/>
      <c r="F23" s="780"/>
      <c r="G23" s="780"/>
      <c r="H23" s="780"/>
      <c r="I23" s="780"/>
      <c r="J23" s="781"/>
      <c r="K23" s="781"/>
      <c r="L23" s="781"/>
      <c r="M23" s="782"/>
      <c r="O23" s="803" t="e">
        <f t="shared" si="0"/>
        <v>#VALUE!</v>
      </c>
      <c r="P23" s="798" t="e">
        <f t="shared" si="1"/>
        <v>#VALUE!</v>
      </c>
      <c r="Q23" s="799" t="e">
        <f t="shared" si="2"/>
        <v>#VALUE!</v>
      </c>
      <c r="R23" s="800" t="e">
        <f t="shared" si="3"/>
        <v>#VALUE!</v>
      </c>
      <c r="S23" s="799" t="e">
        <f t="shared" si="4"/>
        <v>#VALUE!</v>
      </c>
      <c r="T23" s="801" t="e">
        <f t="shared" si="5"/>
        <v>#VALUE!</v>
      </c>
      <c r="U23" s="798" t="e">
        <f t="shared" si="6"/>
        <v>#DIV/0!</v>
      </c>
      <c r="V23" s="798" t="e">
        <f t="shared" si="7"/>
        <v>#DIV/0!</v>
      </c>
      <c r="W23" s="799" t="e">
        <f t="shared" si="8"/>
        <v>#N/A</v>
      </c>
      <c r="X23" s="802" t="e">
        <f t="shared" si="9"/>
        <v>#VALUE!</v>
      </c>
      <c r="Z23" s="803">
        <f t="shared" si="10"/>
        <v>0</v>
      </c>
      <c r="AA23" s="802" t="e">
        <f t="shared" si="11"/>
        <v>#VALUE!</v>
      </c>
    </row>
    <row r="24" spans="1:27">
      <c r="A24" s="777"/>
      <c r="B24" s="655"/>
      <c r="C24" s="778"/>
      <c r="D24" s="653"/>
      <c r="E24" s="779"/>
      <c r="F24" s="780"/>
      <c r="G24" s="780"/>
      <c r="H24" s="780"/>
      <c r="I24" s="780"/>
      <c r="J24" s="781"/>
      <c r="K24" s="781"/>
      <c r="L24" s="781"/>
      <c r="M24" s="782"/>
      <c r="O24" s="803" t="e">
        <f t="shared" si="0"/>
        <v>#VALUE!</v>
      </c>
      <c r="P24" s="798" t="e">
        <f t="shared" si="1"/>
        <v>#VALUE!</v>
      </c>
      <c r="Q24" s="799" t="e">
        <f t="shared" si="2"/>
        <v>#VALUE!</v>
      </c>
      <c r="R24" s="800" t="e">
        <f t="shared" si="3"/>
        <v>#VALUE!</v>
      </c>
      <c r="S24" s="799" t="e">
        <f t="shared" si="4"/>
        <v>#VALUE!</v>
      </c>
      <c r="T24" s="801" t="e">
        <f t="shared" si="5"/>
        <v>#VALUE!</v>
      </c>
      <c r="U24" s="798" t="e">
        <f t="shared" si="6"/>
        <v>#DIV/0!</v>
      </c>
      <c r="V24" s="798" t="e">
        <f t="shared" si="7"/>
        <v>#DIV/0!</v>
      </c>
      <c r="W24" s="799" t="e">
        <f t="shared" si="8"/>
        <v>#N/A</v>
      </c>
      <c r="X24" s="802" t="e">
        <f t="shared" si="9"/>
        <v>#VALUE!</v>
      </c>
      <c r="Z24" s="803">
        <f t="shared" si="10"/>
        <v>0</v>
      </c>
      <c r="AA24" s="802" t="e">
        <f t="shared" si="11"/>
        <v>#VALUE!</v>
      </c>
    </row>
    <row r="25" spans="1:27">
      <c r="A25" s="777"/>
      <c r="B25" s="655"/>
      <c r="C25" s="778"/>
      <c r="D25" s="653"/>
      <c r="E25" s="779"/>
      <c r="F25" s="780"/>
      <c r="G25" s="780"/>
      <c r="H25" s="780"/>
      <c r="I25" s="780"/>
      <c r="J25" s="781"/>
      <c r="K25" s="781"/>
      <c r="L25" s="781"/>
      <c r="M25" s="782"/>
      <c r="O25" s="803" t="e">
        <f t="shared" si="0"/>
        <v>#VALUE!</v>
      </c>
      <c r="P25" s="798" t="e">
        <f t="shared" si="1"/>
        <v>#VALUE!</v>
      </c>
      <c r="Q25" s="799" t="e">
        <f t="shared" si="2"/>
        <v>#VALUE!</v>
      </c>
      <c r="R25" s="800" t="e">
        <f t="shared" si="3"/>
        <v>#VALUE!</v>
      </c>
      <c r="S25" s="799" t="e">
        <f t="shared" si="4"/>
        <v>#VALUE!</v>
      </c>
      <c r="T25" s="801" t="e">
        <f t="shared" si="5"/>
        <v>#VALUE!</v>
      </c>
      <c r="U25" s="798" t="e">
        <f t="shared" si="6"/>
        <v>#DIV/0!</v>
      </c>
      <c r="V25" s="798" t="e">
        <f t="shared" si="7"/>
        <v>#DIV/0!</v>
      </c>
      <c r="W25" s="799" t="e">
        <f t="shared" si="8"/>
        <v>#N/A</v>
      </c>
      <c r="X25" s="802" t="e">
        <f t="shared" si="9"/>
        <v>#VALUE!</v>
      </c>
      <c r="Z25" s="803">
        <f t="shared" si="10"/>
        <v>0</v>
      </c>
      <c r="AA25" s="802" t="e">
        <f t="shared" si="11"/>
        <v>#VALUE!</v>
      </c>
    </row>
    <row r="26" spans="1:27">
      <c r="A26" s="777"/>
      <c r="B26" s="655"/>
      <c r="C26" s="778"/>
      <c r="D26" s="653"/>
      <c r="E26" s="779"/>
      <c r="F26" s="780"/>
      <c r="G26" s="780"/>
      <c r="H26" s="780"/>
      <c r="I26" s="780"/>
      <c r="J26" s="781"/>
      <c r="K26" s="781"/>
      <c r="L26" s="781"/>
      <c r="M26" s="782"/>
      <c r="O26" s="803" t="e">
        <f t="shared" si="0"/>
        <v>#VALUE!</v>
      </c>
      <c r="P26" s="798" t="e">
        <f t="shared" si="1"/>
        <v>#VALUE!</v>
      </c>
      <c r="Q26" s="799" t="e">
        <f t="shared" si="2"/>
        <v>#VALUE!</v>
      </c>
      <c r="R26" s="800" t="e">
        <f t="shared" si="3"/>
        <v>#VALUE!</v>
      </c>
      <c r="S26" s="799" t="e">
        <f t="shared" si="4"/>
        <v>#VALUE!</v>
      </c>
      <c r="T26" s="801" t="e">
        <f t="shared" si="5"/>
        <v>#VALUE!</v>
      </c>
      <c r="U26" s="798" t="e">
        <f t="shared" si="6"/>
        <v>#DIV/0!</v>
      </c>
      <c r="V26" s="798" t="e">
        <f t="shared" si="7"/>
        <v>#DIV/0!</v>
      </c>
      <c r="W26" s="799" t="e">
        <f t="shared" si="8"/>
        <v>#N/A</v>
      </c>
      <c r="X26" s="802" t="e">
        <f t="shared" si="9"/>
        <v>#VALUE!</v>
      </c>
      <c r="Z26" s="803">
        <f t="shared" si="10"/>
        <v>0</v>
      </c>
      <c r="AA26" s="802" t="e">
        <f t="shared" si="11"/>
        <v>#VALUE!</v>
      </c>
    </row>
    <row r="27" spans="1:27">
      <c r="A27" s="777"/>
      <c r="B27" s="655"/>
      <c r="C27" s="778"/>
      <c r="D27" s="653"/>
      <c r="E27" s="779"/>
      <c r="F27" s="780"/>
      <c r="G27" s="780"/>
      <c r="H27" s="780"/>
      <c r="I27" s="780"/>
      <c r="J27" s="781"/>
      <c r="K27" s="781"/>
      <c r="L27" s="781"/>
      <c r="M27" s="782"/>
      <c r="O27" s="803" t="e">
        <f t="shared" si="0"/>
        <v>#VALUE!</v>
      </c>
      <c r="P27" s="798" t="e">
        <f t="shared" si="1"/>
        <v>#VALUE!</v>
      </c>
      <c r="Q27" s="799" t="e">
        <f t="shared" si="2"/>
        <v>#VALUE!</v>
      </c>
      <c r="R27" s="800" t="e">
        <f t="shared" si="3"/>
        <v>#VALUE!</v>
      </c>
      <c r="S27" s="799" t="e">
        <f t="shared" si="4"/>
        <v>#VALUE!</v>
      </c>
      <c r="T27" s="801" t="e">
        <f t="shared" si="5"/>
        <v>#VALUE!</v>
      </c>
      <c r="U27" s="798" t="e">
        <f t="shared" si="6"/>
        <v>#DIV/0!</v>
      </c>
      <c r="V27" s="798" t="e">
        <f t="shared" si="7"/>
        <v>#DIV/0!</v>
      </c>
      <c r="W27" s="799" t="e">
        <f t="shared" si="8"/>
        <v>#N/A</v>
      </c>
      <c r="X27" s="802" t="e">
        <f t="shared" si="9"/>
        <v>#VALUE!</v>
      </c>
      <c r="Z27" s="803">
        <f t="shared" si="10"/>
        <v>0</v>
      </c>
      <c r="AA27" s="802" t="e">
        <f t="shared" si="11"/>
        <v>#VALUE!</v>
      </c>
    </row>
    <row r="28" spans="1:27">
      <c r="A28" s="777"/>
      <c r="B28" s="655"/>
      <c r="C28" s="778"/>
      <c r="D28" s="653"/>
      <c r="E28" s="779"/>
      <c r="F28" s="780"/>
      <c r="G28" s="780"/>
      <c r="H28" s="780"/>
      <c r="I28" s="780"/>
      <c r="J28" s="781"/>
      <c r="K28" s="781"/>
      <c r="L28" s="781"/>
      <c r="M28" s="782"/>
      <c r="O28" s="803" t="e">
        <f t="shared" si="0"/>
        <v>#VALUE!</v>
      </c>
      <c r="P28" s="798" t="e">
        <f t="shared" si="1"/>
        <v>#VALUE!</v>
      </c>
      <c r="Q28" s="799" t="e">
        <f t="shared" si="2"/>
        <v>#VALUE!</v>
      </c>
      <c r="R28" s="800" t="e">
        <f t="shared" si="3"/>
        <v>#VALUE!</v>
      </c>
      <c r="S28" s="799" t="e">
        <f t="shared" si="4"/>
        <v>#VALUE!</v>
      </c>
      <c r="T28" s="801" t="e">
        <f t="shared" si="5"/>
        <v>#VALUE!</v>
      </c>
      <c r="U28" s="798" t="e">
        <f t="shared" si="6"/>
        <v>#DIV/0!</v>
      </c>
      <c r="V28" s="798" t="e">
        <f t="shared" si="7"/>
        <v>#DIV/0!</v>
      </c>
      <c r="W28" s="799" t="e">
        <f t="shared" si="8"/>
        <v>#N/A</v>
      </c>
      <c r="X28" s="802" t="e">
        <f t="shared" si="9"/>
        <v>#VALUE!</v>
      </c>
      <c r="Z28" s="803">
        <f t="shared" si="10"/>
        <v>0</v>
      </c>
      <c r="AA28" s="802" t="e">
        <f t="shared" si="11"/>
        <v>#VALUE!</v>
      </c>
    </row>
    <row r="29" spans="1:27">
      <c r="A29" s="777"/>
      <c r="B29" s="655"/>
      <c r="C29" s="778"/>
      <c r="D29" s="653"/>
      <c r="E29" s="779"/>
      <c r="F29" s="780"/>
      <c r="G29" s="780"/>
      <c r="H29" s="780"/>
      <c r="I29" s="780"/>
      <c r="J29" s="781"/>
      <c r="K29" s="781"/>
      <c r="L29" s="781"/>
      <c r="M29" s="782"/>
      <c r="O29" s="803" t="e">
        <f t="shared" si="0"/>
        <v>#VALUE!</v>
      </c>
      <c r="P29" s="798" t="e">
        <f t="shared" si="1"/>
        <v>#VALUE!</v>
      </c>
      <c r="Q29" s="799" t="e">
        <f t="shared" si="2"/>
        <v>#VALUE!</v>
      </c>
      <c r="R29" s="800" t="e">
        <f t="shared" si="3"/>
        <v>#VALUE!</v>
      </c>
      <c r="S29" s="799" t="e">
        <f t="shared" si="4"/>
        <v>#VALUE!</v>
      </c>
      <c r="T29" s="801" t="e">
        <f t="shared" si="5"/>
        <v>#VALUE!</v>
      </c>
      <c r="U29" s="798" t="e">
        <f t="shared" si="6"/>
        <v>#DIV/0!</v>
      </c>
      <c r="V29" s="798" t="e">
        <f t="shared" si="7"/>
        <v>#DIV/0!</v>
      </c>
      <c r="W29" s="799" t="e">
        <f t="shared" si="8"/>
        <v>#N/A</v>
      </c>
      <c r="X29" s="802" t="e">
        <f t="shared" si="9"/>
        <v>#VALUE!</v>
      </c>
      <c r="Z29" s="803">
        <f t="shared" si="10"/>
        <v>0</v>
      </c>
      <c r="AA29" s="802" t="e">
        <f t="shared" si="11"/>
        <v>#VALUE!</v>
      </c>
    </row>
    <row r="30" spans="1:27">
      <c r="A30" s="777"/>
      <c r="B30" s="655"/>
      <c r="C30" s="778"/>
      <c r="D30" s="653"/>
      <c r="E30" s="779"/>
      <c r="F30" s="780"/>
      <c r="G30" s="780"/>
      <c r="H30" s="780"/>
      <c r="I30" s="780"/>
      <c r="J30" s="781"/>
      <c r="K30" s="781"/>
      <c r="L30" s="781"/>
      <c r="M30" s="782"/>
      <c r="O30" s="803" t="e">
        <f t="shared" si="0"/>
        <v>#VALUE!</v>
      </c>
      <c r="P30" s="798" t="e">
        <f t="shared" si="1"/>
        <v>#VALUE!</v>
      </c>
      <c r="Q30" s="799" t="e">
        <f t="shared" si="2"/>
        <v>#VALUE!</v>
      </c>
      <c r="R30" s="800" t="e">
        <f t="shared" si="3"/>
        <v>#VALUE!</v>
      </c>
      <c r="S30" s="799" t="e">
        <f t="shared" si="4"/>
        <v>#VALUE!</v>
      </c>
      <c r="T30" s="801" t="e">
        <f t="shared" si="5"/>
        <v>#VALUE!</v>
      </c>
      <c r="U30" s="798" t="e">
        <f t="shared" si="6"/>
        <v>#DIV/0!</v>
      </c>
      <c r="V30" s="798" t="e">
        <f t="shared" si="7"/>
        <v>#DIV/0!</v>
      </c>
      <c r="W30" s="799" t="e">
        <f t="shared" si="8"/>
        <v>#N/A</v>
      </c>
      <c r="X30" s="802" t="e">
        <f t="shared" si="9"/>
        <v>#VALUE!</v>
      </c>
      <c r="Z30" s="803">
        <f t="shared" si="10"/>
        <v>0</v>
      </c>
      <c r="AA30" s="802" t="e">
        <f t="shared" si="11"/>
        <v>#VALUE!</v>
      </c>
    </row>
    <row r="31" spans="1:27">
      <c r="A31" s="777"/>
      <c r="B31" s="655"/>
      <c r="C31" s="778"/>
      <c r="D31" s="653"/>
      <c r="E31" s="779"/>
      <c r="F31" s="780"/>
      <c r="G31" s="780"/>
      <c r="H31" s="780"/>
      <c r="I31" s="780"/>
      <c r="J31" s="781"/>
      <c r="K31" s="781"/>
      <c r="L31" s="781"/>
      <c r="M31" s="782"/>
      <c r="O31" s="803" t="e">
        <f t="shared" si="0"/>
        <v>#VALUE!</v>
      </c>
      <c r="P31" s="798" t="e">
        <f t="shared" si="1"/>
        <v>#VALUE!</v>
      </c>
      <c r="Q31" s="799" t="e">
        <f t="shared" si="2"/>
        <v>#VALUE!</v>
      </c>
      <c r="R31" s="800" t="e">
        <f t="shared" si="3"/>
        <v>#VALUE!</v>
      </c>
      <c r="S31" s="799" t="e">
        <f t="shared" si="4"/>
        <v>#VALUE!</v>
      </c>
      <c r="T31" s="801" t="e">
        <f t="shared" si="5"/>
        <v>#VALUE!</v>
      </c>
      <c r="U31" s="798" t="e">
        <f t="shared" si="6"/>
        <v>#DIV/0!</v>
      </c>
      <c r="V31" s="798" t="e">
        <f t="shared" si="7"/>
        <v>#DIV/0!</v>
      </c>
      <c r="W31" s="799" t="e">
        <f t="shared" si="8"/>
        <v>#N/A</v>
      </c>
      <c r="X31" s="802" t="e">
        <f t="shared" si="9"/>
        <v>#VALUE!</v>
      </c>
      <c r="Z31" s="803">
        <f t="shared" si="10"/>
        <v>0</v>
      </c>
      <c r="AA31" s="802" t="e">
        <f t="shared" si="11"/>
        <v>#VALUE!</v>
      </c>
    </row>
    <row r="32" spans="1:27">
      <c r="A32" s="777"/>
      <c r="B32" s="655"/>
      <c r="C32" s="778"/>
      <c r="D32" s="653"/>
      <c r="E32" s="779"/>
      <c r="F32" s="780"/>
      <c r="G32" s="780"/>
      <c r="H32" s="780"/>
      <c r="I32" s="780"/>
      <c r="J32" s="781"/>
      <c r="K32" s="781"/>
      <c r="L32" s="781"/>
      <c r="M32" s="782"/>
      <c r="O32" s="803" t="e">
        <f t="shared" si="0"/>
        <v>#VALUE!</v>
      </c>
      <c r="P32" s="798" t="e">
        <f t="shared" si="1"/>
        <v>#VALUE!</v>
      </c>
      <c r="Q32" s="799" t="e">
        <f t="shared" si="2"/>
        <v>#VALUE!</v>
      </c>
      <c r="R32" s="800" t="e">
        <f t="shared" si="3"/>
        <v>#VALUE!</v>
      </c>
      <c r="S32" s="799" t="e">
        <f t="shared" si="4"/>
        <v>#VALUE!</v>
      </c>
      <c r="T32" s="801" t="e">
        <f t="shared" si="5"/>
        <v>#VALUE!</v>
      </c>
      <c r="U32" s="798" t="e">
        <f t="shared" si="6"/>
        <v>#DIV/0!</v>
      </c>
      <c r="V32" s="798" t="e">
        <f t="shared" si="7"/>
        <v>#DIV/0!</v>
      </c>
      <c r="W32" s="799" t="e">
        <f t="shared" si="8"/>
        <v>#N/A</v>
      </c>
      <c r="X32" s="802" t="e">
        <f t="shared" si="9"/>
        <v>#VALUE!</v>
      </c>
      <c r="Z32" s="803">
        <f t="shared" si="10"/>
        <v>0</v>
      </c>
      <c r="AA32" s="802" t="e">
        <f t="shared" si="11"/>
        <v>#VALUE!</v>
      </c>
    </row>
    <row r="33" spans="1:27">
      <c r="A33" s="777"/>
      <c r="B33" s="655"/>
      <c r="C33" s="778"/>
      <c r="D33" s="653"/>
      <c r="E33" s="779"/>
      <c r="F33" s="780"/>
      <c r="G33" s="780"/>
      <c r="H33" s="780"/>
      <c r="I33" s="780"/>
      <c r="J33" s="781"/>
      <c r="K33" s="781"/>
      <c r="L33" s="781"/>
      <c r="M33" s="782"/>
      <c r="O33" s="803" t="e">
        <f t="shared" si="0"/>
        <v>#VALUE!</v>
      </c>
      <c r="P33" s="798" t="e">
        <f t="shared" si="1"/>
        <v>#VALUE!</v>
      </c>
      <c r="Q33" s="799" t="e">
        <f t="shared" si="2"/>
        <v>#VALUE!</v>
      </c>
      <c r="R33" s="800" t="e">
        <f t="shared" si="3"/>
        <v>#VALUE!</v>
      </c>
      <c r="S33" s="799" t="e">
        <f t="shared" si="4"/>
        <v>#VALUE!</v>
      </c>
      <c r="T33" s="801" t="e">
        <f t="shared" si="5"/>
        <v>#VALUE!</v>
      </c>
      <c r="U33" s="798" t="e">
        <f t="shared" si="6"/>
        <v>#DIV/0!</v>
      </c>
      <c r="V33" s="798" t="e">
        <f t="shared" si="7"/>
        <v>#DIV/0!</v>
      </c>
      <c r="W33" s="799" t="e">
        <f t="shared" si="8"/>
        <v>#N/A</v>
      </c>
      <c r="X33" s="802" t="e">
        <f t="shared" si="9"/>
        <v>#VALUE!</v>
      </c>
      <c r="Z33" s="803">
        <f t="shared" si="10"/>
        <v>0</v>
      </c>
      <c r="AA33" s="802" t="e">
        <f t="shared" si="11"/>
        <v>#VALUE!</v>
      </c>
    </row>
    <row r="34" spans="1:27">
      <c r="A34" s="777"/>
      <c r="B34" s="655"/>
      <c r="C34" s="778"/>
      <c r="D34" s="653"/>
      <c r="E34" s="779"/>
      <c r="F34" s="780"/>
      <c r="G34" s="780"/>
      <c r="H34" s="780"/>
      <c r="I34" s="780"/>
      <c r="J34" s="781"/>
      <c r="K34" s="781"/>
      <c r="L34" s="781"/>
      <c r="M34" s="782"/>
      <c r="O34" s="803" t="e">
        <f t="shared" si="0"/>
        <v>#VALUE!</v>
      </c>
      <c r="P34" s="798" t="e">
        <f t="shared" si="1"/>
        <v>#VALUE!</v>
      </c>
      <c r="Q34" s="799" t="e">
        <f t="shared" si="2"/>
        <v>#VALUE!</v>
      </c>
      <c r="R34" s="800" t="e">
        <f t="shared" si="3"/>
        <v>#VALUE!</v>
      </c>
      <c r="S34" s="799" t="e">
        <f t="shared" si="4"/>
        <v>#VALUE!</v>
      </c>
      <c r="T34" s="801" t="e">
        <f t="shared" si="5"/>
        <v>#VALUE!</v>
      </c>
      <c r="U34" s="798" t="e">
        <f t="shared" si="6"/>
        <v>#DIV/0!</v>
      </c>
      <c r="V34" s="798" t="e">
        <f t="shared" si="7"/>
        <v>#DIV/0!</v>
      </c>
      <c r="W34" s="799" t="e">
        <f t="shared" si="8"/>
        <v>#N/A</v>
      </c>
      <c r="X34" s="802" t="e">
        <f t="shared" si="9"/>
        <v>#VALUE!</v>
      </c>
      <c r="Z34" s="803">
        <f t="shared" si="10"/>
        <v>0</v>
      </c>
      <c r="AA34" s="802" t="e">
        <f t="shared" si="11"/>
        <v>#VALUE!</v>
      </c>
    </row>
    <row r="35" spans="1:27">
      <c r="A35" s="777"/>
      <c r="B35" s="655"/>
      <c r="C35" s="778"/>
      <c r="D35" s="653"/>
      <c r="E35" s="779"/>
      <c r="F35" s="780"/>
      <c r="G35" s="780"/>
      <c r="H35" s="780"/>
      <c r="I35" s="780"/>
      <c r="J35" s="781"/>
      <c r="K35" s="781"/>
      <c r="L35" s="781"/>
      <c r="M35" s="782"/>
      <c r="O35" s="803" t="e">
        <f t="shared" si="0"/>
        <v>#VALUE!</v>
      </c>
      <c r="P35" s="798" t="e">
        <f t="shared" si="1"/>
        <v>#VALUE!</v>
      </c>
      <c r="Q35" s="799" t="e">
        <f t="shared" si="2"/>
        <v>#VALUE!</v>
      </c>
      <c r="R35" s="800" t="e">
        <f t="shared" si="3"/>
        <v>#VALUE!</v>
      </c>
      <c r="S35" s="799" t="e">
        <f t="shared" si="4"/>
        <v>#VALUE!</v>
      </c>
      <c r="T35" s="801" t="e">
        <f t="shared" si="5"/>
        <v>#VALUE!</v>
      </c>
      <c r="U35" s="798" t="e">
        <f t="shared" si="6"/>
        <v>#DIV/0!</v>
      </c>
      <c r="V35" s="798" t="e">
        <f t="shared" si="7"/>
        <v>#DIV/0!</v>
      </c>
      <c r="W35" s="799" t="e">
        <f t="shared" si="8"/>
        <v>#N/A</v>
      </c>
      <c r="X35" s="802" t="e">
        <f t="shared" si="9"/>
        <v>#VALUE!</v>
      </c>
      <c r="Z35" s="803">
        <f t="shared" si="10"/>
        <v>0</v>
      </c>
      <c r="AA35" s="802" t="e">
        <f t="shared" si="11"/>
        <v>#VALUE!</v>
      </c>
    </row>
    <row r="36" spans="1:27">
      <c r="A36" s="777"/>
      <c r="B36" s="655"/>
      <c r="C36" s="778"/>
      <c r="D36" s="653"/>
      <c r="E36" s="779"/>
      <c r="F36" s="780"/>
      <c r="G36" s="780"/>
      <c r="H36" s="780"/>
      <c r="I36" s="780"/>
      <c r="J36" s="781"/>
      <c r="K36" s="781"/>
      <c r="L36" s="781"/>
      <c r="M36" s="782"/>
      <c r="O36" s="803" t="e">
        <f t="shared" si="0"/>
        <v>#VALUE!</v>
      </c>
      <c r="P36" s="798" t="e">
        <f t="shared" si="1"/>
        <v>#VALUE!</v>
      </c>
      <c r="Q36" s="799" t="e">
        <f t="shared" si="2"/>
        <v>#VALUE!</v>
      </c>
      <c r="R36" s="800" t="e">
        <f t="shared" si="3"/>
        <v>#VALUE!</v>
      </c>
      <c r="S36" s="799" t="e">
        <f t="shared" si="4"/>
        <v>#VALUE!</v>
      </c>
      <c r="T36" s="801" t="e">
        <f t="shared" si="5"/>
        <v>#VALUE!</v>
      </c>
      <c r="U36" s="798" t="e">
        <f t="shared" si="6"/>
        <v>#DIV/0!</v>
      </c>
      <c r="V36" s="798" t="e">
        <f t="shared" si="7"/>
        <v>#DIV/0!</v>
      </c>
      <c r="W36" s="799" t="e">
        <f t="shared" si="8"/>
        <v>#N/A</v>
      </c>
      <c r="X36" s="802" t="e">
        <f t="shared" si="9"/>
        <v>#VALUE!</v>
      </c>
      <c r="Z36" s="803">
        <f t="shared" si="10"/>
        <v>0</v>
      </c>
      <c r="AA36" s="802" t="e">
        <f t="shared" si="11"/>
        <v>#VALUE!</v>
      </c>
    </row>
    <row r="37" spans="1:27">
      <c r="A37" s="777"/>
      <c r="B37" s="655"/>
      <c r="C37" s="778"/>
      <c r="D37" s="653"/>
      <c r="E37" s="779"/>
      <c r="F37" s="780"/>
      <c r="G37" s="780"/>
      <c r="H37" s="780"/>
      <c r="I37" s="780"/>
      <c r="J37" s="781"/>
      <c r="K37" s="781"/>
      <c r="L37" s="781"/>
      <c r="M37" s="782"/>
      <c r="O37" s="803" t="e">
        <f t="shared" si="0"/>
        <v>#VALUE!</v>
      </c>
      <c r="P37" s="798" t="e">
        <f t="shared" si="1"/>
        <v>#VALUE!</v>
      </c>
      <c r="Q37" s="799" t="e">
        <f t="shared" si="2"/>
        <v>#VALUE!</v>
      </c>
      <c r="R37" s="800" t="e">
        <f t="shared" si="3"/>
        <v>#VALUE!</v>
      </c>
      <c r="S37" s="799" t="e">
        <f t="shared" si="4"/>
        <v>#VALUE!</v>
      </c>
      <c r="T37" s="801" t="e">
        <f t="shared" si="5"/>
        <v>#VALUE!</v>
      </c>
      <c r="U37" s="798" t="e">
        <f t="shared" si="6"/>
        <v>#DIV/0!</v>
      </c>
      <c r="V37" s="798" t="e">
        <f t="shared" si="7"/>
        <v>#DIV/0!</v>
      </c>
      <c r="W37" s="799" t="e">
        <f t="shared" si="8"/>
        <v>#N/A</v>
      </c>
      <c r="X37" s="802" t="e">
        <f t="shared" si="9"/>
        <v>#VALUE!</v>
      </c>
      <c r="Z37" s="803">
        <f t="shared" si="10"/>
        <v>0</v>
      </c>
      <c r="AA37" s="802" t="e">
        <f t="shared" si="11"/>
        <v>#VALUE!</v>
      </c>
    </row>
    <row r="38" spans="1:27" ht="15.75" thickBot="1">
      <c r="A38" s="783"/>
      <c r="B38" s="658"/>
      <c r="C38" s="784"/>
      <c r="D38" s="644"/>
      <c r="E38" s="785"/>
      <c r="F38" s="786"/>
      <c r="G38" s="786"/>
      <c r="H38" s="786"/>
      <c r="I38" s="786"/>
      <c r="J38" s="787"/>
      <c r="K38" s="787"/>
      <c r="L38" s="787"/>
      <c r="M38" s="788"/>
      <c r="O38" s="805" t="e">
        <f>$O$7*$F38+$O$8*$G38</f>
        <v>#VALUE!</v>
      </c>
      <c r="P38" s="819" t="e">
        <f>$P$9*$H38</f>
        <v>#VALUE!</v>
      </c>
      <c r="Q38" s="810" t="e">
        <f>$Q$7*$F38+$Q$8*$G38</f>
        <v>#VALUE!</v>
      </c>
      <c r="R38" s="893" t="e">
        <f>$R$9*$H38</f>
        <v>#VALUE!</v>
      </c>
      <c r="S38" s="810" t="e">
        <f>$S$10*($I38+$J38)+$S$11*$K38</f>
        <v>#VALUE!</v>
      </c>
      <c r="T38" s="894" t="e">
        <f>$T$10*($I38+$J38+$K38)</f>
        <v>#VALUE!</v>
      </c>
      <c r="U38" s="819" t="e">
        <f>$U$10*($I38+$J38+$K38)</f>
        <v>#DIV/0!</v>
      </c>
      <c r="V38" s="819" t="e">
        <f>$V$10*(($I38+$J38+$K38)-IF($D38="x",0.15*MAX($I38+$J38+$K38-20000,0)+0.05*MAX($I38+$J38+$K38-50000,0)+0.05*MAX($I38+$J38+$K38-1000000,0)+0.2*MAX($I38+$J38+$K38-25000000,0),0))</f>
        <v>#DIV/0!</v>
      </c>
      <c r="W38" s="810" t="e">
        <f>INDEX($W$12:$W$13,MATCH($E38,$N$12:$N$13,0))</f>
        <v>#N/A</v>
      </c>
      <c r="X38" s="814" t="e">
        <f>$X$14*($L38+$M38)</f>
        <v>#VALUE!</v>
      </c>
      <c r="Z38" s="805">
        <f t="shared" si="10"/>
        <v>0</v>
      </c>
      <c r="AA38" s="814" t="e">
        <f t="shared" si="11"/>
        <v>#VALUE!</v>
      </c>
    </row>
    <row r="39" spans="1:27" ht="15.75" thickBot="1">
      <c r="A39" s="869"/>
      <c r="B39" s="870" t="s">
        <v>103</v>
      </c>
      <c r="C39" s="685"/>
      <c r="D39" s="871"/>
      <c r="E39" s="872">
        <f>COUNTIFS($B$20:$B$38,$B39)</f>
        <v>0</v>
      </c>
      <c r="F39" s="873">
        <f>SUMIFS(F$20:F$38,$B$20:$B$38,$B39)</f>
        <v>0</v>
      </c>
      <c r="G39" s="873">
        <f t="shared" ref="G39:M39" si="12">SUMIFS(G$20:G$38,$B$20:$B$38,$B39)</f>
        <v>0</v>
      </c>
      <c r="H39" s="873">
        <f t="shared" si="12"/>
        <v>0</v>
      </c>
      <c r="I39" s="873">
        <f t="shared" si="12"/>
        <v>0</v>
      </c>
      <c r="J39" s="874">
        <f t="shared" si="12"/>
        <v>0</v>
      </c>
      <c r="K39" s="874">
        <f t="shared" si="12"/>
        <v>0</v>
      </c>
      <c r="L39" s="874">
        <f t="shared" si="12"/>
        <v>0</v>
      </c>
      <c r="M39" s="875">
        <f t="shared" si="12"/>
        <v>0</v>
      </c>
      <c r="O39" s="876">
        <f t="shared" ref="O39:T39" si="13">SUMIFS(O$20:O$38,$B$20:$B$38,$B39)</f>
        <v>0</v>
      </c>
      <c r="P39" s="877">
        <f t="shared" si="13"/>
        <v>0</v>
      </c>
      <c r="Q39" s="866">
        <f t="shared" si="13"/>
        <v>0</v>
      </c>
      <c r="R39" s="867">
        <f t="shared" si="13"/>
        <v>0</v>
      </c>
      <c r="S39" s="866">
        <f t="shared" si="13"/>
        <v>0</v>
      </c>
      <c r="T39" s="878">
        <f t="shared" si="13"/>
        <v>0</v>
      </c>
      <c r="U39" s="877"/>
      <c r="V39" s="877">
        <f>SUMIFS(V$20:V$38,$B$20:$B$38,$B39)</f>
        <v>0</v>
      </c>
      <c r="W39" s="866">
        <f>SUMIFS(W$20:W$38,$B$20:$B$38,$B39)</f>
        <v>0</v>
      </c>
      <c r="X39" s="868">
        <f>SUMIFS(X$20:X$38,$B$20:$B$38,$B39)</f>
        <v>0</v>
      </c>
      <c r="Z39" s="876"/>
      <c r="AA39" s="868">
        <f>SUMIFS(AA$20:AA$38,$B$20:$B$38,$B39)</f>
        <v>0</v>
      </c>
    </row>
    <row r="40" spans="1:27" ht="15.75" thickBot="1">
      <c r="A40" s="1525" t="s">
        <v>11</v>
      </c>
      <c r="B40" s="1526"/>
      <c r="C40" s="1527"/>
      <c r="D40" s="879"/>
      <c r="E40" s="880">
        <f>COUNT(E$20:E$38)</f>
        <v>0</v>
      </c>
      <c r="F40" s="881">
        <f>SUM(F$20:F$38)</f>
        <v>0</v>
      </c>
      <c r="G40" s="881">
        <f t="shared" ref="G40:M40" si="14">SUM(G$20:G$38)</f>
        <v>0</v>
      </c>
      <c r="H40" s="881">
        <f t="shared" si="14"/>
        <v>0</v>
      </c>
      <c r="I40" s="881">
        <f t="shared" si="14"/>
        <v>0</v>
      </c>
      <c r="J40" s="882">
        <f t="shared" si="14"/>
        <v>0</v>
      </c>
      <c r="K40" s="882">
        <f t="shared" si="14"/>
        <v>0</v>
      </c>
      <c r="L40" s="882">
        <f t="shared" si="14"/>
        <v>0</v>
      </c>
      <c r="M40" s="883">
        <f t="shared" si="14"/>
        <v>0</v>
      </c>
      <c r="O40" s="884" t="e">
        <f t="shared" ref="O40:X40" si="15">SUBTOTAL(109,O$20:O$38)</f>
        <v>#VALUE!</v>
      </c>
      <c r="P40" s="885" t="e">
        <f t="shared" si="15"/>
        <v>#VALUE!</v>
      </c>
      <c r="Q40" s="886" t="e">
        <f t="shared" si="15"/>
        <v>#VALUE!</v>
      </c>
      <c r="R40" s="887" t="e">
        <f t="shared" si="15"/>
        <v>#VALUE!</v>
      </c>
      <c r="S40" s="888" t="e">
        <f t="shared" si="15"/>
        <v>#VALUE!</v>
      </c>
      <c r="T40" s="889" t="e">
        <f t="shared" si="15"/>
        <v>#VALUE!</v>
      </c>
      <c r="U40" s="885"/>
      <c r="V40" s="885" t="e">
        <f t="shared" si="15"/>
        <v>#DIV/0!</v>
      </c>
      <c r="W40" s="888" t="e">
        <f t="shared" si="15"/>
        <v>#N/A</v>
      </c>
      <c r="X40" s="890" t="e">
        <f t="shared" si="15"/>
        <v>#VALUE!</v>
      </c>
      <c r="Z40" s="884"/>
      <c r="AA40" s="890" t="e">
        <f>SUBTOTAL(109,AA$20:AA$38)</f>
        <v>#VALUE!</v>
      </c>
    </row>
  </sheetData>
  <sheetProtection algorithmName="SHA-512" hashValue="HlMvQ9Q5KzEQtbf9uwRpmstBtAMTEdEOjCWPq6ZQLyemoxgv1QsAMGIHvhgvT5poyoKvHZcCRLz9I67M3kewcg==" saltValue="Tuo5gz7w/IxxSVDcGUAIGg==" spinCount="100000" sheet="1" objects="1" scenarios="1" insertRows="0" deleteRows="0" sort="0" autoFilter="0"/>
  <autoFilter ref="A19:AA19" xr:uid="{2CFE32BB-5378-4DF4-BFB3-4B987FE4E2D6}"/>
  <mergeCells count="15">
    <mergeCell ref="W18:W19"/>
    <mergeCell ref="X18:X19"/>
    <mergeCell ref="Z18:AA18"/>
    <mergeCell ref="A40:C40"/>
    <mergeCell ref="A1:X1"/>
    <mergeCell ref="D4:E4"/>
    <mergeCell ref="M7:M16"/>
    <mergeCell ref="O15:V15"/>
    <mergeCell ref="Q16:R16"/>
    <mergeCell ref="O18:P18"/>
    <mergeCell ref="Q18:R18"/>
    <mergeCell ref="S18:S19"/>
    <mergeCell ref="T18:T19"/>
    <mergeCell ref="V18:V19"/>
    <mergeCell ref="U18:U19"/>
  </mergeCells>
  <dataValidations count="3">
    <dataValidation type="list" allowBlank="1" showInputMessage="1" showErrorMessage="1" sqref="C20:D38" xr:uid="{3B572549-0B83-4551-A1EF-2F0460B59CFB}">
      <formula1>"x"</formula1>
    </dataValidation>
    <dataValidation type="list" allowBlank="1" showInputMessage="1" showErrorMessage="1" sqref="E20:E38" xr:uid="{203E0612-C06D-4AE8-B599-431B813E1744}">
      <formula1>"AMR,MMR,DM - MR1,DM - MR3,KM"</formula1>
    </dataValidation>
    <dataValidation type="list" allowBlank="1" showInputMessage="1" showErrorMessage="1" sqref="B20:B38" xr:uid="{A56CCC02-0FB3-4DDB-81C1-29C632741089}">
      <formula1>$B$39:$B$39</formula1>
    </dataValidation>
  </dataValidation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1F3B96C16DF9D48B4CB8B8993546C0E" ma:contentTypeVersion="16" ma:contentTypeDescription="Een nieuw document maken." ma:contentTypeScope="" ma:versionID="e73aaeec9b222c3939f844b8d2ae355b">
  <xsd:schema xmlns:xsd="http://www.w3.org/2001/XMLSchema" xmlns:xs="http://www.w3.org/2001/XMLSchema" xmlns:p="http://schemas.microsoft.com/office/2006/metadata/properties" xmlns:ns2="dc27eef4-d356-41e1-bcf3-2711032fb096" xmlns:ns3="3f81be05-3666-4a6d-a1ba-3aeea25578fa" targetNamespace="http://schemas.microsoft.com/office/2006/metadata/properties" ma:root="true" ma:fieldsID="5e8b033acfd1ca8191a0b4b8ce178edf" ns2:_="" ns3:_="">
    <xsd:import namespace="dc27eef4-d356-41e1-bcf3-2711032fb096"/>
    <xsd:import namespace="3f81be05-3666-4a6d-a1ba-3aeea25578fa"/>
    <xsd:element name="properties">
      <xsd:complexType>
        <xsd:sequence>
          <xsd:element name="documentManagement">
            <xsd:complexType>
              <xsd:all>
                <xsd:element ref="ns2:DocumentCategorie" minOccurs="0"/>
                <xsd:element ref="ns2:VREGPost" minOccurs="0"/>
                <xsd:element ref="ns2:DocumentumID" minOccurs="0"/>
                <xsd:element ref="ns2:OrigineelGemaaktDoor" minOccurs="0"/>
                <xsd:element ref="ns2:OrigineelGewijzigdDoor" minOccurs="0"/>
                <xsd:element ref="ns3:MediaServiceMetadata" minOccurs="0"/>
                <xsd:element ref="ns3:MediaServiceFastMetadata" minOccurs="0"/>
                <xsd:element ref="ns2:SharedWithUsers" minOccurs="0"/>
                <xsd:element ref="ns2:SharedWithDetails" minOccurs="0"/>
                <xsd:element ref="ns3:MediaServiceAutoTags" minOccurs="0"/>
                <xsd:element ref="ns3:MediaServiceOCR" minOccurs="0"/>
                <xsd:element ref="ns3:MediaServiceGenerationTime" minOccurs="0"/>
                <xsd:element ref="ns3:MediaServiceEventHashCode" minOccurs="0"/>
                <xsd:element ref="ns3:MediaServiceAutoKeyPoints" minOccurs="0"/>
                <xsd:element ref="ns3:MediaServiceKeyPoints" minOccurs="0"/>
                <xsd:element ref="ns3: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c27eef4-d356-41e1-bcf3-2711032fb096" elementFormDefault="qualified">
    <xsd:import namespace="http://schemas.microsoft.com/office/2006/documentManagement/types"/>
    <xsd:import namespace="http://schemas.microsoft.com/office/infopath/2007/PartnerControls"/>
    <xsd:element name="DocumentCategorie" ma:index="8" nillable="true" ma:displayName="Document categorie" ma:internalName="DocumentCategorie">
      <xsd:simpleType>
        <xsd:restriction base="dms:Choice">
          <xsd:enumeration value="Notulen DR"/>
          <xsd:enumeration value="Communicatie (brief, mail, fax)"/>
          <xsd:enumeration value="Advies"/>
          <xsd:enumeration value="Beslissing"/>
          <xsd:enumeration value="Contract"/>
          <xsd:enumeration value="Factuur"/>
          <xsd:enumeration value="Mededeling"/>
          <xsd:enumeration value="Nota"/>
          <xsd:enumeration value="Persbericht"/>
          <xsd:enumeration value="Presentatie"/>
          <xsd:enumeration value="Procedure"/>
          <xsd:enumeration value="Rapport"/>
          <xsd:enumeration value="Sjabloon"/>
          <xsd:enumeration value="Verslag"/>
          <xsd:enumeration value="Niet van toepassing"/>
          <xsd:enumeration value="Archief"/>
        </xsd:restriction>
      </xsd:simpleType>
    </xsd:element>
    <xsd:element name="VREGPost" ma:index="9" nillable="true" ma:displayName="Post" ma:internalName="VREGPost">
      <xsd:simpleType>
        <xsd:restriction base="dms:Choice">
          <xsd:enumeration value="Inkomende"/>
          <xsd:enumeration value="Uitgaande"/>
        </xsd:restriction>
      </xsd:simpleType>
    </xsd:element>
    <xsd:element name="DocumentumID" ma:index="10" nillable="true" ma:displayName="Documentum ID" ma:internalName="DocumentumID">
      <xsd:simpleType>
        <xsd:restriction base="dms:Text"/>
      </xsd:simpleType>
    </xsd:element>
    <xsd:element name="OrigineelGemaaktDoor" ma:index="11" nillable="true" ma:displayName="Origineel gemaakt door" ma:internalName="OrigineelGemaaktDoor">
      <xsd:simpleType>
        <xsd:restriction base="dms:Text"/>
      </xsd:simpleType>
    </xsd:element>
    <xsd:element name="OrigineelGewijzigdDoor" ma:index="12" nillable="true" ma:displayName="Origineel gewijzigd door" ma:internalName="OrigineelGewijzigdDoor">
      <xsd:simpleType>
        <xsd:restriction base="dms:Text"/>
      </xsd:simpleType>
    </xsd:element>
    <xsd:element name="SharedWithUsers" ma:index="15"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Gedeeld met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f81be05-3666-4a6d-a1ba-3aeea25578fa" elementFormDefault="qualified">
    <xsd:import namespace="http://schemas.microsoft.com/office/2006/documentManagement/types"/>
    <xsd:import namespace="http://schemas.microsoft.com/office/infopath/2007/PartnerControls"/>
    <xsd:element name="MediaServiceMetadata" ma:index="13" nillable="true" ma:displayName="MediaServiceMetadata" ma:hidden="true" ma:internalName="MediaServiceMetadata" ma:readOnly="true">
      <xsd:simpleType>
        <xsd:restriction base="dms:Note"/>
      </xsd:simpleType>
    </xsd:element>
    <xsd:element name="MediaServiceFastMetadata" ma:index="14" nillable="true" ma:displayName="MediaServiceFastMetadata" ma:hidden="true" ma:internalName="MediaServiceFastMetadata" ma:readOnly="true">
      <xsd:simpleType>
        <xsd:restriction base="dms:Note"/>
      </xsd:simpleType>
    </xsd:element>
    <xsd:element name="MediaServiceAutoTags" ma:index="17" nillable="true" ma:displayName="MediaServiceAutoTags" ma:internalName="MediaServiceAutoTags" ma:readOnly="true">
      <xsd:simpleType>
        <xsd:restriction base="dms:Text"/>
      </xsd:simpleType>
    </xsd:element>
    <xsd:element name="MediaServiceOCR" ma:index="18" nillable="true" ma:displayName="MediaServiceOCR"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element name="MediaServiceDateTaken" ma:index="23" nillable="true" ma:displayName="MediaServiceDateTaken" ma:hidden="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VREGPost xmlns="dc27eef4-d356-41e1-bcf3-2711032fb096" xsi:nil="true"/>
    <DocumentumID xmlns="dc27eef4-d356-41e1-bcf3-2711032fb096" xsi:nil="true"/>
    <OrigineelGemaaktDoor xmlns="dc27eef4-d356-41e1-bcf3-2711032fb096" xsi:nil="true"/>
    <OrigineelGewijzigdDoor xmlns="dc27eef4-d356-41e1-bcf3-2711032fb096" xsi:nil="true"/>
    <DocumentCategorie xmlns="dc27eef4-d356-41e1-bcf3-2711032fb096" xsi:nil="true"/>
  </documentManagement>
</p:properties>
</file>

<file path=customXml/itemProps1.xml><?xml version="1.0" encoding="utf-8"?>
<ds:datastoreItem xmlns:ds="http://schemas.openxmlformats.org/officeDocument/2006/customXml" ds:itemID="{04555C23-9EA1-48AB-B86C-B958BBA4FF2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c27eef4-d356-41e1-bcf3-2711032fb096"/>
    <ds:schemaRef ds:uri="3f81be05-3666-4a6d-a1ba-3aeea25578f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6282EBC-10FE-44A4-A37C-37BAF5679D71}">
  <ds:schemaRefs>
    <ds:schemaRef ds:uri="http://schemas.microsoft.com/sharepoint/v3/contenttype/forms"/>
  </ds:schemaRefs>
</ds:datastoreItem>
</file>

<file path=customXml/itemProps3.xml><?xml version="1.0" encoding="utf-8"?>
<ds:datastoreItem xmlns:ds="http://schemas.openxmlformats.org/officeDocument/2006/customXml" ds:itemID="{5A67B6ED-D559-4527-8ECD-C63CEDA5F615}">
  <ds:schemaRefs>
    <ds:schemaRef ds:uri="http://purl.org/dc/terms/"/>
    <ds:schemaRef ds:uri="http://schemas.openxmlformats.org/package/2006/metadata/core-properties"/>
    <ds:schemaRef ds:uri="http://purl.org/dc/dcmitype/"/>
    <ds:schemaRef ds:uri="http://schemas.microsoft.com/office/infopath/2007/PartnerControls"/>
    <ds:schemaRef ds:uri="3f81be05-3666-4a6d-a1ba-3aeea25578fa"/>
    <ds:schemaRef ds:uri="http://purl.org/dc/elements/1.1/"/>
    <ds:schemaRef ds:uri="http://schemas.microsoft.com/office/2006/documentManagement/types"/>
    <ds:schemaRef ds:uri="dc27eef4-d356-41e1-bcf3-2711032fb096"/>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32</vt:i4>
      </vt:variant>
      <vt:variant>
        <vt:lpstr>Benoemde bereiken</vt:lpstr>
      </vt:variant>
      <vt:variant>
        <vt:i4>45</vt:i4>
      </vt:variant>
    </vt:vector>
  </HeadingPairs>
  <TitlesOfParts>
    <vt:vector size="77" baseType="lpstr">
      <vt:lpstr>TITELBLAD</vt:lpstr>
      <vt:lpstr>--&gt; ELEKTRICITEIT</vt:lpstr>
      <vt:lpstr>ASSUMPTIES</vt:lpstr>
      <vt:lpstr>VERDEELSLEUTELS</vt:lpstr>
      <vt:lpstr>REKENVOLUMES</vt:lpstr>
      <vt:lpstr>MAXIMUM</vt:lpstr>
      <vt:lpstr>Max Afname TRHS</vt:lpstr>
      <vt:lpstr>Max Afname MS</vt:lpstr>
      <vt:lpstr>Max Afname TRLS</vt:lpstr>
      <vt:lpstr>Max Afname LS</vt:lpstr>
      <vt:lpstr>Max Injectie</vt:lpstr>
      <vt:lpstr>T1</vt:lpstr>
      <vt:lpstr>T2</vt:lpstr>
      <vt:lpstr>T3</vt:lpstr>
      <vt:lpstr>T4</vt:lpstr>
      <vt:lpstr>--&gt; AARDGAS</vt:lpstr>
      <vt:lpstr>T5</vt:lpstr>
      <vt:lpstr>T6</vt:lpstr>
      <vt:lpstr>T7</vt:lpstr>
      <vt:lpstr>T8</vt:lpstr>
      <vt:lpstr>--&gt; TARIEFLIJSTEN</vt:lpstr>
      <vt:lpstr>ELEK Afname</vt:lpstr>
      <vt:lpstr>ELEK Afname Trans HS</vt:lpstr>
      <vt:lpstr>ELEK Afname &gt;26-36 kV</vt:lpstr>
      <vt:lpstr>ELEK Afname 26-1 kV</vt:lpstr>
      <vt:lpstr>ELEK Afname Trans LS</vt:lpstr>
      <vt:lpstr>ELEK Afname LS</vt:lpstr>
      <vt:lpstr>ELEK Afname Doorvoer</vt:lpstr>
      <vt:lpstr>ELEK Injectie</vt:lpstr>
      <vt:lpstr>GAS Afname</vt:lpstr>
      <vt:lpstr>GAS Injectie</vt:lpstr>
      <vt:lpstr>Werkblad</vt:lpstr>
      <vt:lpstr>TITELBLAD!_ftnref3</vt:lpstr>
      <vt:lpstr>'T5'!Afdrukbereik</vt:lpstr>
      <vt:lpstr>'T6'!Afdrukbereik</vt:lpstr>
      <vt:lpstr>'T8'!Afdrukbereik</vt:lpstr>
      <vt:lpstr>TITELBLAD!Afdrukbereik</vt:lpstr>
      <vt:lpstr>B2020_ODV_TRHS</vt:lpstr>
      <vt:lpstr>B2020_TOE_TRHS</vt:lpstr>
      <vt:lpstr>BEGINJAAR</vt:lpstr>
      <vt:lpstr>CPI_2020</vt:lpstr>
      <vt:lpstr>CPI_JAARMIN1</vt:lpstr>
      <vt:lpstr>DIM_OMV</vt:lpstr>
      <vt:lpstr>DNB</vt:lpstr>
      <vt:lpstr>EINDJAAR</vt:lpstr>
      <vt:lpstr>FACTOR_DOORVOER</vt:lpstr>
      <vt:lpstr>FACTOR_MP_TV</vt:lpstr>
      <vt:lpstr>FACTOR_OST</vt:lpstr>
      <vt:lpstr>FACTOR_VAST</vt:lpstr>
      <vt:lpstr>JAAR</vt:lpstr>
      <vt:lpstr>Keuze_Kostenindeling1</vt:lpstr>
      <vt:lpstr>Keuze_Kostenindeling2</vt:lpstr>
      <vt:lpstr>Keuze_Kostenindeling3</vt:lpstr>
      <vt:lpstr>Keuze_Kostenindeling4</vt:lpstr>
      <vt:lpstr>Keuze_Subactiviteit</vt:lpstr>
      <vt:lpstr>Keuze_TariefcomponentN</vt:lpstr>
      <vt:lpstr>KORTING_XN</vt:lpstr>
      <vt:lpstr>MAXTOENAME_TRHS</vt:lpstr>
      <vt:lpstr>OMVORMERVERMOGEN</vt:lpstr>
      <vt:lpstr>ONDERNEMINGSNUMMER</vt:lpstr>
      <vt:lpstr>PROCENT_GEMMP</vt:lpstr>
      <vt:lpstr>PROCENT_KWH</vt:lpstr>
      <vt:lpstr>PROCENT_MP</vt:lpstr>
      <vt:lpstr>PROCENT_TV</vt:lpstr>
      <vt:lpstr>PROCENT_VERHOGING_NA_MAX</vt:lpstr>
      <vt:lpstr>TAR_DATA_LSMR1_2021</vt:lpstr>
      <vt:lpstr>TAR_DATA_LSMR3_2021</vt:lpstr>
      <vt:lpstr>TAR_DATA_NIETLS_2021</vt:lpstr>
      <vt:lpstr>TAR_DATA_PROD_2021</vt:lpstr>
      <vt:lpstr>TAR_ODV_GSC</vt:lpstr>
      <vt:lpstr>TAR_ODV_HEWKK</vt:lpstr>
      <vt:lpstr>TAR_ODV_REG</vt:lpstr>
      <vt:lpstr>TAR_ODV_RESERVE</vt:lpstr>
      <vt:lpstr>TAR_ODV_WIND</vt:lpstr>
      <vt:lpstr>TAR_TOE_MASTEN</vt:lpstr>
      <vt:lpstr>VOLLASTUREN</vt:lpstr>
      <vt:lpstr>ZELFCONSUMPTIE</vt:lpstr>
    </vt:vector>
  </TitlesOfParts>
  <Company>VREG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Bert Stockman</dc:creator>
  <cp:lastModifiedBy>Marc Michiels</cp:lastModifiedBy>
  <cp:lastPrinted>2016-03-21T12:54:43Z</cp:lastPrinted>
  <dcterms:created xsi:type="dcterms:W3CDTF">2014-06-04T07:25:01Z</dcterms:created>
  <dcterms:modified xsi:type="dcterms:W3CDTF">2021-03-18T09:35:55Z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0x01010041F3B96C16DF9D48B4CB8B8993546C0E</vt:lpwstr>
  </property>
</Properties>
</file>