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bookViews>
    <workbookView xWindow="0" yWindow="0" windowWidth="7800" windowHeight="1220" tabRatio="633"/>
  </bookViews>
  <sheets>
    <sheet name="TITELBLAD" sheetId="1" r:id="rId1"/>
    <sheet name="T1" sheetId="2" r:id="rId2"/>
    <sheet name="T2" sheetId="4" r:id="rId3"/>
    <sheet name="T3A" sheetId="5" r:id="rId4"/>
    <sheet name="T3B" sheetId="6" r:id="rId5"/>
    <sheet name="T4A" sheetId="7" r:id="rId6"/>
    <sheet name="T4B" sheetId="19" r:id="rId7"/>
    <sheet name="T4C" sheetId="20" r:id="rId8"/>
    <sheet name="T5A" sheetId="8" r:id="rId9"/>
    <sheet name="T5B" sheetId="21" r:id="rId10"/>
    <sheet name="T5C" sheetId="13" r:id="rId11"/>
    <sheet name="T5D" sheetId="15" r:id="rId12"/>
    <sheet name="T5E" sheetId="16" r:id="rId13"/>
    <sheet name="T6A" sheetId="22" r:id="rId14"/>
    <sheet name="T6B" sheetId="23" r:id="rId15"/>
    <sheet name="T7" sheetId="25" r:id="rId16"/>
    <sheet name="T8" sheetId="9" r:id="rId17"/>
    <sheet name="T9" sheetId="10" r:id="rId18"/>
    <sheet name="T10" sheetId="11" r:id="rId19"/>
  </sheets>
  <externalReferences>
    <externalReference r:id="rId20"/>
    <externalReference r:id="rId21"/>
    <externalReference r:id="rId22"/>
    <externalReference r:id="rId23"/>
    <externalReference r:id="rId24"/>
  </externalReferences>
  <definedNames>
    <definedName name="_ftn2" localSheetId="0">TITELBLAD!#REF!</definedName>
    <definedName name="_ftn3" localSheetId="0">TITELBLAD!#REF!</definedName>
    <definedName name="_ftnref2" localSheetId="0">TITELBLAD!$A$113</definedName>
    <definedName name="_ftnref3" localSheetId="0">TITELBLAD!$A$117</definedName>
    <definedName name="a">#REF!</definedName>
    <definedName name="_xlnm.Print_Area" localSheetId="1">'T1'!$A$1:$Q$80</definedName>
    <definedName name="_xlnm.Print_Area" localSheetId="18">'T10'!$A$1:$J$42</definedName>
    <definedName name="_xlnm.Print_Area" localSheetId="2">'T2'!$A$1:$F$32</definedName>
    <definedName name="_xlnm.Print_Area" localSheetId="3">T3A!$A$1:$N$156</definedName>
    <definedName name="_xlnm.Print_Area" localSheetId="4">T3B!$A$1:$K$182</definedName>
    <definedName name="_xlnm.Print_Area" localSheetId="5">T4A!$A$1:$M$57</definedName>
    <definedName name="_xlnm.Print_Area" localSheetId="6">T4B!$A$1:$N$504</definedName>
    <definedName name="_xlnm.Print_Area" localSheetId="7">T4C!$A$1:$M$94</definedName>
    <definedName name="_xlnm.Print_Area" localSheetId="8">T5A!$A$1:$M$88</definedName>
    <definedName name="_xlnm.Print_Area" localSheetId="9">T5B!$A$1:$N$458</definedName>
    <definedName name="_xlnm.Print_Area" localSheetId="10">T5C!$A$1:$K$49</definedName>
    <definedName name="_xlnm.Print_Area" localSheetId="11">T5D!$A$1:$I$35</definedName>
    <definedName name="_xlnm.Print_Area" localSheetId="12">T5E!$A$1:$I$45</definedName>
    <definedName name="_xlnm.Print_Area" localSheetId="13">T6A!$A$1:$K$106</definedName>
    <definedName name="_xlnm.Print_Area" localSheetId="14">T6B!$A$1:$N$396</definedName>
    <definedName name="_xlnm.Print_Area" localSheetId="15">'T7'!$A$1:$K$49</definedName>
    <definedName name="_xlnm.Print_Area" localSheetId="16">'T8'!$A$1:$O$255</definedName>
    <definedName name="_xlnm.Print_Area" localSheetId="17">'T9'!$A$1:$F$25</definedName>
    <definedName name="_xlnm.Print_Area" localSheetId="0">TITELBLAD!$A$1:$Q$104</definedName>
    <definedName name="_xlnm.Print_Titles" localSheetId="5">T4A!$2:$2</definedName>
    <definedName name="_xlnm.Print_Titles" localSheetId="7">T4C!$2:$2</definedName>
    <definedName name="_xlnm.Print_Titles" localSheetId="8">T5A!$2:$2</definedName>
    <definedName name="_xlnm.Print_Titles" localSheetId="13">T6A!$2:$2</definedName>
    <definedName name="_xlnm.Print_Titles" localSheetId="15">'T7'!$2:$2</definedName>
    <definedName name="Aftakklem_LS" localSheetId="18">'[1]BASISPRIJZEN MATERIAAL'!$I$188</definedName>
    <definedName name="Aftakklem_LS" localSheetId="5">'[2]BASISPRIJZEN MATERIAAL'!$I$188</definedName>
    <definedName name="Aftakklem_LS" localSheetId="7">'[2]BASISPRIJZEN MATERIAAL'!$I$188</definedName>
    <definedName name="Aftakklem_LS" localSheetId="8">'[2]BASISPRIJZEN MATERIAAL'!$I$188</definedName>
    <definedName name="Aftakklem_LS" localSheetId="11">'[3]BASISPRIJZEN MATERIAAL'!$I$188</definedName>
    <definedName name="Aftakklem_LS" localSheetId="13">'[2]BASISPRIJZEN MATERIAAL'!$I$188</definedName>
    <definedName name="Aftakklem_LS" localSheetId="15">'[2]BASISPRIJZEN MATERIAAL'!$I$188</definedName>
    <definedName name="Aftakklem_LS" localSheetId="0">'[1]BASISPRIJZEN MATERIAAL'!$I$188</definedName>
    <definedName name="Aftakklem_LS">'[2]BASISPRIJZEN MATERIAAL'!$I$188</definedName>
    <definedName name="Codes" localSheetId="18">'[4]Codes des IM'!$B$2:$D$23</definedName>
    <definedName name="Codes" localSheetId="5">'[5]Codes des IM'!$B$2:$D$23</definedName>
    <definedName name="Codes" localSheetId="7">'[5]Codes des IM'!$B$2:$D$23</definedName>
    <definedName name="Codes" localSheetId="8">'[5]Codes des IM'!$B$2:$D$23</definedName>
    <definedName name="Codes" localSheetId="11">'[4]Codes des IM'!$B$2:$D$23</definedName>
    <definedName name="Codes" localSheetId="13">'[5]Codes des IM'!$B$2:$D$23</definedName>
    <definedName name="Codes" localSheetId="15">'[5]Codes des IM'!$B$2:$D$23</definedName>
    <definedName name="Codes" localSheetId="0">'[4]Codes des IM'!$B$2:$D$23</definedName>
    <definedName name="Codes">'[5]Codes des IM'!$B$2:$D$23</definedName>
    <definedName name="Forfaitair_feeder">75000</definedName>
    <definedName name="Hangslot" localSheetId="18">'[1]BASISPRIJZEN MATERIAAL'!$I$138</definedName>
    <definedName name="Hangslot" localSheetId="5">'[2]BASISPRIJZEN MATERIAAL'!$I$138</definedName>
    <definedName name="Hangslot" localSheetId="7">'[2]BASISPRIJZEN MATERIAAL'!$I$138</definedName>
    <definedName name="Hangslot" localSheetId="8">'[2]BASISPRIJZEN MATERIAAL'!$I$138</definedName>
    <definedName name="Hangslot" localSheetId="11">'[3]BASISPRIJZEN MATERIAAL'!$I$138</definedName>
    <definedName name="Hangslot" localSheetId="13">'[2]BASISPRIJZEN MATERIAAL'!$I$138</definedName>
    <definedName name="Hangslot" localSheetId="15">'[2]BASISPRIJZEN MATERIAAL'!$I$138</definedName>
    <definedName name="Hangslot" localSheetId="0">'[1]BASISPRIJZEN MATERIAAL'!$I$138</definedName>
    <definedName name="Hangslot">'[2]BASISPRIJZEN MATERIAAL'!$I$138</definedName>
    <definedName name="Kabelschoen_HS" localSheetId="18">'[1]BASISPRIJZEN MATERIAAL'!$I$201</definedName>
    <definedName name="Kabelschoen_HS" localSheetId="5">'[2]BASISPRIJZEN MATERIAAL'!$I$201</definedName>
    <definedName name="Kabelschoen_HS" localSheetId="7">'[2]BASISPRIJZEN MATERIAAL'!$I$201</definedName>
    <definedName name="Kabelschoen_HS" localSheetId="8">'[2]BASISPRIJZEN MATERIAAL'!$I$201</definedName>
    <definedName name="Kabelschoen_HS" localSheetId="11">'[3]BASISPRIJZEN MATERIAAL'!$I$201</definedName>
    <definedName name="Kabelschoen_HS" localSheetId="13">'[2]BASISPRIJZEN MATERIAAL'!$I$201</definedName>
    <definedName name="Kabelschoen_HS" localSheetId="15">'[2]BASISPRIJZEN MATERIAAL'!$I$201</definedName>
    <definedName name="Kabelschoen_HS" localSheetId="0">'[1]BASISPRIJZEN MATERIAAL'!$I$201</definedName>
    <definedName name="Kabelschoen_HS">'[2]BASISPRIJZEN MATERIAAL'!$I$201</definedName>
    <definedName name="Kabelschoen_LS" localSheetId="18">'[1]BASISPRIJZEN MATERIAAL'!$I$198</definedName>
    <definedName name="Kabelschoen_LS" localSheetId="5">'[2]BASISPRIJZEN MATERIAAL'!$I$198</definedName>
    <definedName name="Kabelschoen_LS" localSheetId="7">'[2]BASISPRIJZEN MATERIAAL'!$I$198</definedName>
    <definedName name="Kabelschoen_LS" localSheetId="8">'[2]BASISPRIJZEN MATERIAAL'!$I$198</definedName>
    <definedName name="Kabelschoen_LS" localSheetId="11">'[3]BASISPRIJZEN MATERIAAL'!$I$198</definedName>
    <definedName name="Kabelschoen_LS" localSheetId="13">'[2]BASISPRIJZEN MATERIAAL'!$I$198</definedName>
    <definedName name="Kabelschoen_LS" localSheetId="15">'[2]BASISPRIJZEN MATERIAAL'!$I$198</definedName>
    <definedName name="Kabelschoen_LS" localSheetId="0">'[1]BASISPRIJZEN MATERIAAL'!$I$198</definedName>
    <definedName name="Kabelschoen_LS">'[2]BASISPRIJZEN MATERIAAL'!$I$198</definedName>
    <definedName name="Kit_kunststof_AL" localSheetId="18">'[1]BASISPRIJZEN MATERIAAL'!$I$190</definedName>
    <definedName name="Kit_kunststof_AL" localSheetId="5">'[2]BASISPRIJZEN MATERIAAL'!$I$190</definedName>
    <definedName name="Kit_kunststof_AL" localSheetId="7">'[2]BASISPRIJZEN MATERIAAL'!$I$190</definedName>
    <definedName name="Kit_kunststof_AL" localSheetId="8">'[2]BASISPRIJZEN MATERIAAL'!$I$190</definedName>
    <definedName name="Kit_kunststof_AL" localSheetId="11">'[3]BASISPRIJZEN MATERIAAL'!$I$190</definedName>
    <definedName name="Kit_kunststof_AL" localSheetId="13">'[2]BASISPRIJZEN MATERIAAL'!$I$190</definedName>
    <definedName name="Kit_kunststof_AL" localSheetId="15">'[2]BASISPRIJZEN MATERIAAL'!$I$190</definedName>
    <definedName name="Kit_kunststof_AL" localSheetId="0">'[1]BASISPRIJZEN MATERIAAL'!$I$190</definedName>
    <definedName name="Kit_kunststof_AL">'[2]BASISPRIJZEN MATERIAAL'!$I$190</definedName>
    <definedName name="Kit_kunststof_papierlood" localSheetId="18">'[1]BASISPRIJZEN MATERIAAL'!$I$191</definedName>
    <definedName name="Kit_kunststof_papierlood" localSheetId="5">'[2]BASISPRIJZEN MATERIAAL'!$I$191</definedName>
    <definedName name="Kit_kunststof_papierlood" localSheetId="7">'[2]BASISPRIJZEN MATERIAAL'!$I$191</definedName>
    <definedName name="Kit_kunststof_papierlood" localSheetId="8">'[2]BASISPRIJZEN MATERIAAL'!$I$191</definedName>
    <definedName name="Kit_kunststof_papierlood" localSheetId="11">'[3]BASISPRIJZEN MATERIAAL'!$I$191</definedName>
    <definedName name="Kit_kunststof_papierlood" localSheetId="13">'[2]BASISPRIJZEN MATERIAAL'!$I$191</definedName>
    <definedName name="Kit_kunststof_papierlood" localSheetId="15">'[2]BASISPRIJZEN MATERIAAL'!$I$191</definedName>
    <definedName name="Kit_kunststof_papierlood" localSheetId="0">'[1]BASISPRIJZEN MATERIAAL'!$I$191</definedName>
    <definedName name="Kit_kunststof_papierlood">'[2]BASISPRIJZEN MATERIAAL'!$I$191</definedName>
    <definedName name="Kit_papierlood" localSheetId="18">'[1]BASISPRIJZEN MATERIAAL'!$I$189</definedName>
    <definedName name="Kit_papierlood" localSheetId="5">'[2]BASISPRIJZEN MATERIAAL'!$I$189</definedName>
    <definedName name="Kit_papierlood" localSheetId="7">'[2]BASISPRIJZEN MATERIAAL'!$I$189</definedName>
    <definedName name="Kit_papierlood" localSheetId="8">'[2]BASISPRIJZEN MATERIAAL'!$I$189</definedName>
    <definedName name="Kit_papierlood" localSheetId="11">'[3]BASISPRIJZEN MATERIAAL'!$I$189</definedName>
    <definedName name="Kit_papierlood" localSheetId="13">'[2]BASISPRIJZEN MATERIAAL'!$I$189</definedName>
    <definedName name="Kit_papierlood" localSheetId="15">'[2]BASISPRIJZEN MATERIAAL'!$I$189</definedName>
    <definedName name="Kit_papierlood" localSheetId="0">'[1]BASISPRIJZEN MATERIAAL'!$I$189</definedName>
    <definedName name="Kit_papierlood">'[2]BASISPRIJZEN MATERIAAL'!$I$189</definedName>
    <definedName name="Klein_materiaal_10">10</definedName>
    <definedName name="Klein_materiaal_100">100</definedName>
    <definedName name="Klein_materiaal_25">25</definedName>
    <definedName name="Plaat_postnummer_telefoon" localSheetId="18">'[1]BASISPRIJZEN MATERIAAL'!$I$160</definedName>
    <definedName name="Plaat_postnummer_telefoon" localSheetId="5">'[2]BASISPRIJZEN MATERIAAL'!$I$160</definedName>
    <definedName name="Plaat_postnummer_telefoon" localSheetId="7">'[2]BASISPRIJZEN MATERIAAL'!$I$160</definedName>
    <definedName name="Plaat_postnummer_telefoon" localSheetId="8">'[2]BASISPRIJZEN MATERIAAL'!$I$160</definedName>
    <definedName name="Plaat_postnummer_telefoon" localSheetId="11">'[3]BASISPRIJZEN MATERIAAL'!$I$160</definedName>
    <definedName name="Plaat_postnummer_telefoon" localSheetId="13">'[2]BASISPRIJZEN MATERIAAL'!$I$160</definedName>
    <definedName name="Plaat_postnummer_telefoon" localSheetId="15">'[2]BASISPRIJZEN MATERIAAL'!$I$160</definedName>
    <definedName name="Plaat_postnummer_telefoon" localSheetId="0">'[1]BASISPRIJZEN MATERIAAL'!$I$160</definedName>
    <definedName name="Plaat_postnummer_telefoon">'[2]BASISPRIJZEN MATERIAAL'!$I$160</definedName>
    <definedName name="SAPBEXrevision" localSheetId="12" hidden="1">23</definedName>
    <definedName name="SAPBEXrevision" hidden="1">10</definedName>
    <definedName name="SAPBEXsysID" hidden="1">"BP1"</definedName>
    <definedName name="SAPBEXwbID" localSheetId="12" hidden="1">"3OXN00JDSWKKLN5ZRDB3JJU3L"</definedName>
    <definedName name="SAPBEXwbID" hidden="1">"4751QXOCD67AJ09JC6QHJDZY6"</definedName>
    <definedName name="Sleutelkastje" localSheetId="18">'[1]BASISPRIJZEN MATERIAAL'!$I$159</definedName>
    <definedName name="Sleutelkastje" localSheetId="5">'[2]BASISPRIJZEN MATERIAAL'!$I$159</definedName>
    <definedName name="Sleutelkastje" localSheetId="7">'[2]BASISPRIJZEN MATERIAAL'!$I$159</definedName>
    <definedName name="Sleutelkastje" localSheetId="8">'[2]BASISPRIJZEN MATERIAAL'!$I$159</definedName>
    <definedName name="Sleutelkastje" localSheetId="11">'[3]BASISPRIJZEN MATERIAAL'!$I$159</definedName>
    <definedName name="Sleutelkastje" localSheetId="13">'[2]BASISPRIJZEN MATERIAAL'!$I$159</definedName>
    <definedName name="Sleutelkastje" localSheetId="15">'[2]BASISPRIJZEN MATERIAAL'!$I$159</definedName>
    <definedName name="Sleutelkastje" localSheetId="0">'[1]BASISPRIJZEN MATERIAAL'!$I$159</definedName>
    <definedName name="Sleutelkastje">'[2]BASISPRIJZEN MATERIAAL'!$I$159</definedName>
    <definedName name="Slot_voor_sleutelkastje" localSheetId="18">'[1]BASISPRIJZEN MATERIAAL'!$I$158</definedName>
    <definedName name="Slot_voor_sleutelkastje" localSheetId="5">'[2]BASISPRIJZEN MATERIAAL'!$I$158</definedName>
    <definedName name="Slot_voor_sleutelkastje" localSheetId="7">'[2]BASISPRIJZEN MATERIAAL'!$I$158</definedName>
    <definedName name="Slot_voor_sleutelkastje" localSheetId="8">'[2]BASISPRIJZEN MATERIAAL'!$I$158</definedName>
    <definedName name="Slot_voor_sleutelkastje" localSheetId="11">'[3]BASISPRIJZEN MATERIAAL'!$I$158</definedName>
    <definedName name="Slot_voor_sleutelkastje" localSheetId="13">'[2]BASISPRIJZEN MATERIAAL'!$I$158</definedName>
    <definedName name="Slot_voor_sleutelkastje" localSheetId="15">'[2]BASISPRIJZEN MATERIAAL'!$I$158</definedName>
    <definedName name="Slot_voor_sleutelkastje" localSheetId="0">'[1]BASISPRIJZEN MATERIAAL'!$I$158</definedName>
    <definedName name="Slot_voor_sleutelkastje">'[2]BASISPRIJZEN MATERIAAL'!$I$158</definedName>
    <definedName name="Terminal_kunststof" localSheetId="18">'[1]BASISPRIJZEN MATERIAAL'!$I$195</definedName>
    <definedName name="Terminal_kunststof" localSheetId="5">'[2]BASISPRIJZEN MATERIAAL'!$I$195</definedName>
    <definedName name="Terminal_kunststof" localSheetId="7">'[2]BASISPRIJZEN MATERIAAL'!$I$195</definedName>
    <definedName name="Terminal_kunststof" localSheetId="8">'[2]BASISPRIJZEN MATERIAAL'!$I$195</definedName>
    <definedName name="Terminal_kunststof" localSheetId="11">'[3]BASISPRIJZEN MATERIAAL'!$I$195</definedName>
    <definedName name="Terminal_kunststof" localSheetId="13">'[2]BASISPRIJZEN MATERIAAL'!$I$195</definedName>
    <definedName name="Terminal_kunststof" localSheetId="15">'[2]BASISPRIJZEN MATERIAAL'!$I$195</definedName>
    <definedName name="Terminal_kunststof" localSheetId="0">'[1]BASISPRIJZEN MATERIAAL'!$I$195</definedName>
    <definedName name="Terminal_kunststof">'[2]BASISPRIJZEN MATERIAAL'!$I$195</definedName>
    <definedName name="Terminal_LS" localSheetId="18">'[1]BASISPRIJZEN MATERIAAL'!$I$200</definedName>
    <definedName name="Terminal_LS" localSheetId="5">'[2]BASISPRIJZEN MATERIAAL'!$I$200</definedName>
    <definedName name="Terminal_LS" localSheetId="7">'[2]BASISPRIJZEN MATERIAAL'!$I$200</definedName>
    <definedName name="Terminal_LS" localSheetId="8">'[2]BASISPRIJZEN MATERIAAL'!$I$200</definedName>
    <definedName name="Terminal_LS" localSheetId="11">'[3]BASISPRIJZEN MATERIAAL'!$I$200</definedName>
    <definedName name="Terminal_LS" localSheetId="13">'[2]BASISPRIJZEN MATERIAAL'!$I$200</definedName>
    <definedName name="Terminal_LS" localSheetId="15">'[2]BASISPRIJZEN MATERIAAL'!$I$200</definedName>
    <definedName name="Terminal_LS" localSheetId="0">'[1]BASISPRIJZEN MATERIAAL'!$I$200</definedName>
    <definedName name="Terminal_LS">'[2]BASISPRIJZEN MATERIAAL'!$I$200</definedName>
    <definedName name="Traduction1" localSheetId="18">'[4]Codes des IM'!$A$28:$D$1853</definedName>
    <definedName name="Traduction1" localSheetId="5">'[5]Codes des IM'!$A$28:$D$1853</definedName>
    <definedName name="Traduction1" localSheetId="7">'[5]Codes des IM'!$A$28:$D$1853</definedName>
    <definedName name="Traduction1" localSheetId="8">'[5]Codes des IM'!$A$28:$D$1853</definedName>
    <definedName name="Traduction1" localSheetId="11">'[4]Codes des IM'!$A$28:$D$1853</definedName>
    <definedName name="Traduction1" localSheetId="13">'[5]Codes des IM'!$A$28:$D$1853</definedName>
    <definedName name="Traduction1" localSheetId="15">'[5]Codes des IM'!$A$28:$D$1853</definedName>
    <definedName name="Traduction1" localSheetId="0">'[4]Codes des IM'!$A$28:$D$1853</definedName>
    <definedName name="Traduction1">'[5]Codes des IM'!$A$28:$D$1853</definedName>
    <definedName name="Verbinder_kunststof_M4" localSheetId="18">'[1]BASISPRIJZEN MATERIAAL'!$I$192</definedName>
    <definedName name="Verbinder_kunststof_M4" localSheetId="5">'[2]BASISPRIJZEN MATERIAAL'!$I$192</definedName>
    <definedName name="Verbinder_kunststof_M4" localSheetId="7">'[2]BASISPRIJZEN MATERIAAL'!$I$192</definedName>
    <definedName name="Verbinder_kunststof_M4" localSheetId="8">'[2]BASISPRIJZEN MATERIAAL'!$I$192</definedName>
    <definedName name="Verbinder_kunststof_M4" localSheetId="11">'[3]BASISPRIJZEN MATERIAAL'!$I$192</definedName>
    <definedName name="Verbinder_kunststof_M4" localSheetId="13">'[2]BASISPRIJZEN MATERIAAL'!$I$192</definedName>
    <definedName name="Verbinder_kunststof_M4" localSheetId="15">'[2]BASISPRIJZEN MATERIAAL'!$I$192</definedName>
    <definedName name="Verbinder_kunststof_M4" localSheetId="0">'[1]BASISPRIJZEN MATERIAAL'!$I$192</definedName>
    <definedName name="Verbinder_kunststof_M4">'[2]BASISPRIJZEN MATERIAAL'!$I$192</definedName>
    <definedName name="Verbinder_kunststof_papierlood_M3" localSheetId="18">'[1]BASISPRIJZEN MATERIAAL'!$I$192</definedName>
    <definedName name="Verbinder_kunststof_papierlood_M3" localSheetId="5">'[2]BASISPRIJZEN MATERIAAL'!$I$192</definedName>
    <definedName name="Verbinder_kunststof_papierlood_M3" localSheetId="7">'[2]BASISPRIJZEN MATERIAAL'!$I$192</definedName>
    <definedName name="Verbinder_kunststof_papierlood_M3" localSheetId="8">'[2]BASISPRIJZEN MATERIAAL'!$I$192</definedName>
    <definedName name="Verbinder_kunststof_papierlood_M3" localSheetId="11">'[3]BASISPRIJZEN MATERIAAL'!$I$192</definedName>
    <definedName name="Verbinder_kunststof_papierlood_M3" localSheetId="13">'[2]BASISPRIJZEN MATERIAAL'!$I$192</definedName>
    <definedName name="Verbinder_kunststof_papierlood_M3" localSheetId="15">'[2]BASISPRIJZEN MATERIAAL'!$I$192</definedName>
    <definedName name="Verbinder_kunststof_papierlood_M3" localSheetId="0">'[1]BASISPRIJZEN MATERIAAL'!$I$192</definedName>
    <definedName name="Verbinder_kunststof_papierlood_M3">'[2]BASISPRIJZEN MATERIAAL'!$I$192</definedName>
    <definedName name="Verbinder_papierlood_M3" localSheetId="18">'[1]BASISPRIJZEN MATERIAAL'!$I$192</definedName>
    <definedName name="Verbinder_papierlood_M3" localSheetId="5">'[2]BASISPRIJZEN MATERIAAL'!$I$192</definedName>
    <definedName name="Verbinder_papierlood_M3" localSheetId="7">'[2]BASISPRIJZEN MATERIAAL'!$I$192</definedName>
    <definedName name="Verbinder_papierlood_M3" localSheetId="8">'[2]BASISPRIJZEN MATERIAAL'!$I$192</definedName>
    <definedName name="Verbinder_papierlood_M3" localSheetId="11">'[3]BASISPRIJZEN MATERIAAL'!$I$192</definedName>
    <definedName name="Verbinder_papierlood_M3" localSheetId="13">'[2]BASISPRIJZEN MATERIAAL'!$I$192</definedName>
    <definedName name="Verbinder_papierlood_M3" localSheetId="15">'[2]BASISPRIJZEN MATERIAAL'!$I$192</definedName>
    <definedName name="Verbinder_papierlood_M3" localSheetId="0">'[1]BASISPRIJZEN MATERIAAL'!$I$192</definedName>
    <definedName name="Verbinder_papierlood_M3">'[2]BASISPRIJZEN MATERIAAL'!$I$192</definedName>
    <definedName name="Wikkeldoos_LS" localSheetId="18">'[1]BASISPRIJZEN MATERIAAL'!$I$199</definedName>
    <definedName name="Wikkeldoos_LS" localSheetId="5">'[2]BASISPRIJZEN MATERIAAL'!$I$199</definedName>
    <definedName name="Wikkeldoos_LS" localSheetId="7">'[2]BASISPRIJZEN MATERIAAL'!$I$199</definedName>
    <definedName name="Wikkeldoos_LS" localSheetId="8">'[2]BASISPRIJZEN MATERIAAL'!$I$199</definedName>
    <definedName name="Wikkeldoos_LS" localSheetId="11">'[3]BASISPRIJZEN MATERIAAL'!$I$199</definedName>
    <definedName name="Wikkeldoos_LS" localSheetId="13">'[2]BASISPRIJZEN MATERIAAL'!$I$199</definedName>
    <definedName name="Wikkeldoos_LS" localSheetId="15">'[2]BASISPRIJZEN MATERIAAL'!$I$199</definedName>
    <definedName name="Wikkeldoos_LS" localSheetId="0">'[1]BASISPRIJZEN MATERIAAL'!$I$199</definedName>
    <definedName name="Wikkeldoos_LS">'[2]BASISPRIJZEN MATERIAAL'!$I$199</definedName>
    <definedName name="Z_C8C7977F_B6BF_432B_A1A7_559450D521AF_.wvu.PrintArea" localSheetId="5" hidden="1">T4A!$A$1:$M$57</definedName>
    <definedName name="Z_C8C7977F_B6BF_432B_A1A7_559450D521AF_.wvu.PrintArea" localSheetId="7" hidden="1">T4C!$A$1:$M$57</definedName>
    <definedName name="Z_C8C7977F_B6BF_432B_A1A7_559450D521AF_.wvu.PrintArea" localSheetId="8" hidden="1">T5A!$A$1:$M$88</definedName>
    <definedName name="Z_C8C7977F_B6BF_432B_A1A7_559450D521AF_.wvu.PrintArea" localSheetId="13" hidden="1">T6A!$A$1:$K$106</definedName>
    <definedName name="Z_C8C7977F_B6BF_432B_A1A7_559450D521AF_.wvu.PrintArea" localSheetId="15" hidden="1">'T7'!$A$1:$K$49</definedName>
    <definedName name="Z_C8C7977F_B6BF_432B_A1A7_559450D521AF_.wvu.PrintArea" localSheetId="0" hidden="1">TITELBLAD!$A$1:$Q$116</definedName>
    <definedName name="Z_C8C7977F_B6BF_432B_A1A7_559450D521AF_.wvu.PrintTitles" localSheetId="5" hidden="1">T4A!$2:$2</definedName>
    <definedName name="Z_C8C7977F_B6BF_432B_A1A7_559450D521AF_.wvu.PrintTitles" localSheetId="7" hidden="1">T4C!$2:$2</definedName>
    <definedName name="Z_C8C7977F_B6BF_432B_A1A7_559450D521AF_.wvu.PrintTitles" localSheetId="8" hidden="1">T5A!$2:$2</definedName>
    <definedName name="Z_C8C7977F_B6BF_432B_A1A7_559450D521AF_.wvu.PrintTitles" localSheetId="13" hidden="1">T6A!$2:$2</definedName>
    <definedName name="Z_C8C7977F_B6BF_432B_A1A7_559450D521AF_.wvu.PrintTitles" localSheetId="15" hidden="1">'T7'!$2:$2</definedName>
  </definedNames>
  <calcPr calcId="171027"/>
  <customWorkbookViews>
    <customWorkbookView name="Marc Michiels - Persoonlijke weergave" guid="{C8C7977F-B6BF-432B-A1A7-559450D521AF}" mergeInterval="0" personalView="1" maximized="1" windowWidth="1280" windowHeight="798" tabRatio="791" activeSheetId="8" showComments="commIndAndComment"/>
  </customWorkbookViews>
</workbook>
</file>

<file path=xl/calcChain.xml><?xml version="1.0" encoding="utf-8"?>
<calcChain xmlns="http://schemas.openxmlformats.org/spreadsheetml/2006/main">
  <c r="G40" i="11" l="1"/>
  <c r="F40" i="11"/>
  <c r="D40" i="11"/>
  <c r="C40" i="11"/>
  <c r="H37" i="11"/>
  <c r="E37" i="11"/>
  <c r="E40" i="11" s="1"/>
  <c r="H29" i="11"/>
  <c r="E29" i="11"/>
  <c r="H25" i="11"/>
  <c r="E25" i="11"/>
  <c r="H21" i="11"/>
  <c r="E21" i="11"/>
  <c r="H17" i="11"/>
  <c r="E17" i="11"/>
  <c r="F12" i="11"/>
  <c r="C11" i="11"/>
  <c r="C10" i="11"/>
  <c r="N2" i="11"/>
  <c r="M2" i="11"/>
  <c r="K2" i="11"/>
  <c r="D24" i="10"/>
  <c r="D25" i="10" s="1"/>
  <c r="D22" i="10"/>
  <c r="D16" i="10"/>
  <c r="D13" i="10"/>
  <c r="D12" i="10"/>
  <c r="D11" i="10"/>
  <c r="J10" i="10"/>
  <c r="I10" i="10"/>
  <c r="F10" i="10"/>
  <c r="M254" i="9"/>
  <c r="L254" i="9"/>
  <c r="K254" i="9"/>
  <c r="J254" i="9"/>
  <c r="I254" i="9"/>
  <c r="O252" i="9"/>
  <c r="O254" i="9" s="1"/>
  <c r="O250" i="9"/>
  <c r="I250" i="9"/>
  <c r="G241" i="9"/>
  <c r="J214" i="9"/>
  <c r="K214" i="9" s="1"/>
  <c r="L214" i="9" s="1"/>
  <c r="M214" i="9" s="1"/>
  <c r="J211" i="9"/>
  <c r="J212" i="9" s="1"/>
  <c r="L209" i="9"/>
  <c r="L210" i="9" s="1"/>
  <c r="L211" i="9" s="1"/>
  <c r="L212" i="9" s="1"/>
  <c r="K208" i="9"/>
  <c r="K209" i="9" s="1"/>
  <c r="K210" i="9" s="1"/>
  <c r="K211" i="9" s="1"/>
  <c r="K212" i="9" s="1"/>
  <c r="K207" i="9"/>
  <c r="J207" i="9"/>
  <c r="J208" i="9" s="1"/>
  <c r="J209" i="9" s="1"/>
  <c r="J210" i="9" s="1"/>
  <c r="M206" i="9"/>
  <c r="M207" i="9" s="1"/>
  <c r="M208" i="9" s="1"/>
  <c r="M209" i="9" s="1"/>
  <c r="M210" i="9" s="1"/>
  <c r="M211" i="9" s="1"/>
  <c r="M212" i="9" s="1"/>
  <c r="L206" i="9"/>
  <c r="L207" i="9" s="1"/>
  <c r="L208" i="9" s="1"/>
  <c r="K206" i="9"/>
  <c r="J206" i="9"/>
  <c r="I206" i="9"/>
  <c r="M201" i="9"/>
  <c r="M202" i="9" s="1"/>
  <c r="M203" i="9" s="1"/>
  <c r="M204" i="9" s="1"/>
  <c r="L200" i="9"/>
  <c r="L201" i="9" s="1"/>
  <c r="L202" i="9" s="1"/>
  <c r="L203" i="9" s="1"/>
  <c r="L204" i="9" s="1"/>
  <c r="L199" i="9"/>
  <c r="K199" i="9"/>
  <c r="K200" i="9" s="1"/>
  <c r="K201" i="9" s="1"/>
  <c r="K202" i="9" s="1"/>
  <c r="K203" i="9" s="1"/>
  <c r="K204" i="9" s="1"/>
  <c r="M198" i="9"/>
  <c r="M199" i="9" s="1"/>
  <c r="M200" i="9" s="1"/>
  <c r="L198" i="9"/>
  <c r="K198" i="9"/>
  <c r="J198" i="9"/>
  <c r="J199" i="9" s="1"/>
  <c r="J200" i="9" s="1"/>
  <c r="J201" i="9" s="1"/>
  <c r="J202" i="9" s="1"/>
  <c r="J203" i="9" s="1"/>
  <c r="J204" i="9" s="1"/>
  <c r="I198" i="9"/>
  <c r="I199" i="9" s="1"/>
  <c r="M196" i="9"/>
  <c r="K194" i="9"/>
  <c r="K195" i="9" s="1"/>
  <c r="K196" i="9" s="1"/>
  <c r="M192" i="9"/>
  <c r="M193" i="9" s="1"/>
  <c r="M194" i="9" s="1"/>
  <c r="M195" i="9" s="1"/>
  <c r="I192" i="9"/>
  <c r="M191" i="9"/>
  <c r="L191" i="9"/>
  <c r="L192" i="9" s="1"/>
  <c r="L193" i="9" s="1"/>
  <c r="L194" i="9" s="1"/>
  <c r="L195" i="9" s="1"/>
  <c r="L196" i="9" s="1"/>
  <c r="I191" i="9"/>
  <c r="M190" i="9"/>
  <c r="L190" i="9"/>
  <c r="K190" i="9"/>
  <c r="K191" i="9" s="1"/>
  <c r="K192" i="9" s="1"/>
  <c r="K193" i="9" s="1"/>
  <c r="J190" i="9"/>
  <c r="J191" i="9" s="1"/>
  <c r="J192" i="9" s="1"/>
  <c r="J193" i="9" s="1"/>
  <c r="J194" i="9" s="1"/>
  <c r="J195" i="9" s="1"/>
  <c r="J196" i="9" s="1"/>
  <c r="I190" i="9"/>
  <c r="O190" i="9" s="1"/>
  <c r="M187" i="9"/>
  <c r="M188" i="9" s="1"/>
  <c r="L186" i="9"/>
  <c r="L187" i="9" s="1"/>
  <c r="L188" i="9" s="1"/>
  <c r="J184" i="9"/>
  <c r="J185" i="9" s="1"/>
  <c r="J186" i="9" s="1"/>
  <c r="J187" i="9" s="1"/>
  <c r="J188" i="9" s="1"/>
  <c r="M183" i="9"/>
  <c r="M184" i="9" s="1"/>
  <c r="M185" i="9" s="1"/>
  <c r="M186" i="9" s="1"/>
  <c r="J183" i="9"/>
  <c r="I183" i="9"/>
  <c r="M182" i="9"/>
  <c r="L182" i="9"/>
  <c r="L183" i="9" s="1"/>
  <c r="L184" i="9" s="1"/>
  <c r="L185" i="9" s="1"/>
  <c r="K182" i="9"/>
  <c r="K183" i="9" s="1"/>
  <c r="K184" i="9" s="1"/>
  <c r="K185" i="9" s="1"/>
  <c r="K186" i="9" s="1"/>
  <c r="K187" i="9" s="1"/>
  <c r="K188" i="9" s="1"/>
  <c r="J182" i="9"/>
  <c r="I182" i="9"/>
  <c r="O182" i="9" s="1"/>
  <c r="K180" i="9"/>
  <c r="L177" i="9"/>
  <c r="L178" i="9" s="1"/>
  <c r="L179" i="9" s="1"/>
  <c r="L180" i="9" s="1"/>
  <c r="K176" i="9"/>
  <c r="K177" i="9" s="1"/>
  <c r="K178" i="9" s="1"/>
  <c r="K179" i="9" s="1"/>
  <c r="K175" i="9"/>
  <c r="J175" i="9"/>
  <c r="J176" i="9" s="1"/>
  <c r="J177" i="9" s="1"/>
  <c r="J178" i="9" s="1"/>
  <c r="J179" i="9" s="1"/>
  <c r="J180" i="9" s="1"/>
  <c r="M174" i="9"/>
  <c r="M175" i="9" s="1"/>
  <c r="M176" i="9" s="1"/>
  <c r="M177" i="9" s="1"/>
  <c r="M178" i="9" s="1"/>
  <c r="M179" i="9" s="1"/>
  <c r="M180" i="9" s="1"/>
  <c r="L174" i="9"/>
  <c r="L175" i="9" s="1"/>
  <c r="L176" i="9" s="1"/>
  <c r="K174" i="9"/>
  <c r="J174" i="9"/>
  <c r="I174" i="9"/>
  <c r="L172" i="9"/>
  <c r="L167" i="9"/>
  <c r="L168" i="9" s="1"/>
  <c r="L169" i="9" s="1"/>
  <c r="L170" i="9" s="1"/>
  <c r="L171" i="9" s="1"/>
  <c r="M166" i="9"/>
  <c r="M167" i="9" s="1"/>
  <c r="M168" i="9" s="1"/>
  <c r="M169" i="9" s="1"/>
  <c r="M170" i="9" s="1"/>
  <c r="M171" i="9" s="1"/>
  <c r="M172" i="9" s="1"/>
  <c r="L166" i="9"/>
  <c r="K166" i="9"/>
  <c r="K167" i="9" s="1"/>
  <c r="K168" i="9" s="1"/>
  <c r="K169" i="9" s="1"/>
  <c r="K170" i="9" s="1"/>
  <c r="K171" i="9" s="1"/>
  <c r="K172" i="9" s="1"/>
  <c r="J166" i="9"/>
  <c r="J167" i="9" s="1"/>
  <c r="J168" i="9" s="1"/>
  <c r="J169" i="9" s="1"/>
  <c r="J170" i="9" s="1"/>
  <c r="J171" i="9" s="1"/>
  <c r="J172" i="9" s="1"/>
  <c r="I166" i="9"/>
  <c r="I167" i="9" s="1"/>
  <c r="I168" i="9" s="1"/>
  <c r="K162" i="9"/>
  <c r="K163" i="9" s="1"/>
  <c r="K164" i="9" s="1"/>
  <c r="M160" i="9"/>
  <c r="M161" i="9" s="1"/>
  <c r="M162" i="9" s="1"/>
  <c r="M163" i="9" s="1"/>
  <c r="M164" i="9" s="1"/>
  <c r="I160" i="9"/>
  <c r="M159" i="9"/>
  <c r="L159" i="9"/>
  <c r="L160" i="9" s="1"/>
  <c r="L161" i="9" s="1"/>
  <c r="L162" i="9" s="1"/>
  <c r="L163" i="9" s="1"/>
  <c r="L164" i="9" s="1"/>
  <c r="I159" i="9"/>
  <c r="M158" i="9"/>
  <c r="L158" i="9"/>
  <c r="K158" i="9"/>
  <c r="K159" i="9" s="1"/>
  <c r="K160" i="9" s="1"/>
  <c r="K161" i="9" s="1"/>
  <c r="J158" i="9"/>
  <c r="O158" i="9" s="1"/>
  <c r="I158" i="9"/>
  <c r="M155" i="9"/>
  <c r="M156" i="9" s="1"/>
  <c r="L154" i="9"/>
  <c r="L155" i="9" s="1"/>
  <c r="L156" i="9" s="1"/>
  <c r="K153" i="9"/>
  <c r="K154" i="9" s="1"/>
  <c r="K155" i="9" s="1"/>
  <c r="K156" i="9" s="1"/>
  <c r="J152" i="9"/>
  <c r="J153" i="9" s="1"/>
  <c r="J154" i="9" s="1"/>
  <c r="J155" i="9" s="1"/>
  <c r="J156" i="9" s="1"/>
  <c r="M151" i="9"/>
  <c r="M152" i="9" s="1"/>
  <c r="M153" i="9" s="1"/>
  <c r="M154" i="9" s="1"/>
  <c r="I151" i="9"/>
  <c r="M150" i="9"/>
  <c r="L150" i="9"/>
  <c r="L151" i="9" s="1"/>
  <c r="L152" i="9" s="1"/>
  <c r="L153" i="9" s="1"/>
  <c r="K150" i="9"/>
  <c r="K151" i="9" s="1"/>
  <c r="K152" i="9" s="1"/>
  <c r="J150" i="9"/>
  <c r="J151" i="9" s="1"/>
  <c r="I150" i="9"/>
  <c r="M146" i="9"/>
  <c r="M147" i="9" s="1"/>
  <c r="M148" i="9" s="1"/>
  <c r="K144" i="9"/>
  <c r="K145" i="9" s="1"/>
  <c r="K146" i="9" s="1"/>
  <c r="K147" i="9" s="1"/>
  <c r="K148" i="9" s="1"/>
  <c r="J143" i="9"/>
  <c r="J144" i="9" s="1"/>
  <c r="J145" i="9" s="1"/>
  <c r="J146" i="9" s="1"/>
  <c r="J147" i="9" s="1"/>
  <c r="J148" i="9" s="1"/>
  <c r="M142" i="9"/>
  <c r="M143" i="9" s="1"/>
  <c r="M144" i="9" s="1"/>
  <c r="M145" i="9" s="1"/>
  <c r="L142" i="9"/>
  <c r="L143" i="9" s="1"/>
  <c r="L144" i="9" s="1"/>
  <c r="L145" i="9" s="1"/>
  <c r="L146" i="9" s="1"/>
  <c r="L147" i="9" s="1"/>
  <c r="L148" i="9" s="1"/>
  <c r="K142" i="9"/>
  <c r="K143" i="9" s="1"/>
  <c r="J142" i="9"/>
  <c r="I142" i="9"/>
  <c r="K135" i="9"/>
  <c r="M134" i="9"/>
  <c r="M135" i="9" s="1"/>
  <c r="L134" i="9"/>
  <c r="L216" i="9" s="1"/>
  <c r="K134" i="9"/>
  <c r="J134" i="9"/>
  <c r="I134" i="9"/>
  <c r="I135" i="9" s="1"/>
  <c r="L131" i="9"/>
  <c r="K131" i="9"/>
  <c r="K250" i="9" s="1"/>
  <c r="J131" i="9"/>
  <c r="J250" i="9" s="1"/>
  <c r="M126" i="9"/>
  <c r="L126" i="9"/>
  <c r="K126" i="9"/>
  <c r="J126" i="9"/>
  <c r="I126" i="9"/>
  <c r="M125" i="9"/>
  <c r="L125" i="9"/>
  <c r="K125" i="9"/>
  <c r="J125" i="9"/>
  <c r="I125" i="9"/>
  <c r="M124" i="9"/>
  <c r="L124" i="9"/>
  <c r="K124" i="9"/>
  <c r="J124" i="9"/>
  <c r="I124" i="9"/>
  <c r="M123" i="9"/>
  <c r="L123" i="9"/>
  <c r="K123" i="9"/>
  <c r="J123" i="9"/>
  <c r="I123" i="9"/>
  <c r="M122" i="9"/>
  <c r="L122" i="9"/>
  <c r="K122" i="9"/>
  <c r="J122" i="9"/>
  <c r="I122" i="9"/>
  <c r="M121" i="9"/>
  <c r="L121" i="9"/>
  <c r="K121" i="9"/>
  <c r="J121" i="9"/>
  <c r="I121" i="9"/>
  <c r="M120" i="9"/>
  <c r="L120" i="9"/>
  <c r="K120" i="9"/>
  <c r="J120" i="9"/>
  <c r="I120" i="9"/>
  <c r="K118" i="9"/>
  <c r="L118" i="9" s="1"/>
  <c r="M118" i="9" s="1"/>
  <c r="J118" i="9"/>
  <c r="O116" i="9"/>
  <c r="O115" i="9"/>
  <c r="O114" i="9"/>
  <c r="O113" i="9"/>
  <c r="O112" i="9"/>
  <c r="O111" i="9"/>
  <c r="O110" i="9"/>
  <c r="O108" i="9"/>
  <c r="O107" i="9"/>
  <c r="O106" i="9"/>
  <c r="O105" i="9"/>
  <c r="O104" i="9"/>
  <c r="O103" i="9"/>
  <c r="O102" i="9"/>
  <c r="O100" i="9"/>
  <c r="O99" i="9"/>
  <c r="O98" i="9"/>
  <c r="O97" i="9"/>
  <c r="O96" i="9"/>
  <c r="O95" i="9"/>
  <c r="O94" i="9"/>
  <c r="O92" i="9"/>
  <c r="O91" i="9"/>
  <c r="O90" i="9"/>
  <c r="O89" i="9"/>
  <c r="O88" i="9"/>
  <c r="O87" i="9"/>
  <c r="O86" i="9"/>
  <c r="O84" i="9"/>
  <c r="O83" i="9"/>
  <c r="O82" i="9"/>
  <c r="O81" i="9"/>
  <c r="O80" i="9"/>
  <c r="O79" i="9"/>
  <c r="O78" i="9"/>
  <c r="O76" i="9"/>
  <c r="O75" i="9"/>
  <c r="O74" i="9"/>
  <c r="O73" i="9"/>
  <c r="O72" i="9"/>
  <c r="O71" i="9"/>
  <c r="O70" i="9"/>
  <c r="O68" i="9"/>
  <c r="O67" i="9"/>
  <c r="O66" i="9"/>
  <c r="B66" i="9"/>
  <c r="O65" i="9"/>
  <c r="O64" i="9"/>
  <c r="O63" i="9"/>
  <c r="O62" i="9"/>
  <c r="O60" i="9"/>
  <c r="O59" i="9"/>
  <c r="O58" i="9"/>
  <c r="O57" i="9"/>
  <c r="B57" i="9"/>
  <c r="O56" i="9"/>
  <c r="O55" i="9"/>
  <c r="O54" i="9"/>
  <c r="O52" i="9"/>
  <c r="O51" i="9"/>
  <c r="O50" i="9"/>
  <c r="O49" i="9"/>
  <c r="O48" i="9"/>
  <c r="B48" i="9"/>
  <c r="O47" i="9"/>
  <c r="O46" i="9"/>
  <c r="O44" i="9"/>
  <c r="O43" i="9"/>
  <c r="O42" i="9"/>
  <c r="O41" i="9"/>
  <c r="O40" i="9"/>
  <c r="O39" i="9"/>
  <c r="B39" i="9"/>
  <c r="O38" i="9"/>
  <c r="L35" i="9"/>
  <c r="M35" i="9" s="1"/>
  <c r="B73" i="9" s="1"/>
  <c r="J35" i="9"/>
  <c r="K35" i="9" s="1"/>
  <c r="K17" i="9" s="1"/>
  <c r="M30" i="9"/>
  <c r="L30" i="9"/>
  <c r="K30" i="9"/>
  <c r="J30" i="9"/>
  <c r="I30" i="9"/>
  <c r="O30" i="9" s="1"/>
  <c r="O28" i="9"/>
  <c r="O27" i="9"/>
  <c r="O26" i="9"/>
  <c r="O25" i="9"/>
  <c r="O24" i="9"/>
  <c r="O23" i="9"/>
  <c r="O22" i="9"/>
  <c r="O21" i="9"/>
  <c r="O20" i="9"/>
  <c r="O19" i="9"/>
  <c r="J17" i="9"/>
  <c r="I17" i="9"/>
  <c r="B7" i="9"/>
  <c r="B4" i="9"/>
  <c r="E2" i="9"/>
  <c r="D2" i="9"/>
  <c r="O1" i="9"/>
  <c r="M1" i="9"/>
  <c r="L1" i="9"/>
  <c r="G228" i="9" s="1"/>
  <c r="G148" i="25"/>
  <c r="G140" i="25"/>
  <c r="G134" i="25"/>
  <c r="A67" i="25"/>
  <c r="A66" i="25"/>
  <c r="M58" i="25"/>
  <c r="K58" i="25"/>
  <c r="J58" i="25"/>
  <c r="I58" i="25"/>
  <c r="H58" i="25"/>
  <c r="G58" i="25"/>
  <c r="F58" i="25"/>
  <c r="J53" i="25"/>
  <c r="I53" i="25"/>
  <c r="H53" i="25"/>
  <c r="G53" i="25"/>
  <c r="F53" i="25"/>
  <c r="F46" i="25"/>
  <c r="E45" i="25"/>
  <c r="D45" i="25"/>
  <c r="D44" i="25"/>
  <c r="C43" i="25"/>
  <c r="F34" i="25"/>
  <c r="F24" i="25" s="1"/>
  <c r="E34" i="25"/>
  <c r="H31" i="25"/>
  <c r="J30" i="25"/>
  <c r="H30" i="25"/>
  <c r="B30" i="25"/>
  <c r="B43" i="25" s="1"/>
  <c r="C29" i="25"/>
  <c r="C42" i="25" s="1"/>
  <c r="F23" i="25"/>
  <c r="E22" i="25"/>
  <c r="H22" i="25" s="1"/>
  <c r="H21" i="25"/>
  <c r="D21" i="25"/>
  <c r="F60" i="25" s="1"/>
  <c r="C20" i="25"/>
  <c r="H19" i="25"/>
  <c r="B19" i="25"/>
  <c r="C18" i="25"/>
  <c r="D7" i="25"/>
  <c r="B20" i="25" s="1"/>
  <c r="B31" i="25" s="1"/>
  <c r="B44" i="25" s="1"/>
  <c r="B387" i="23"/>
  <c r="B386" i="23"/>
  <c r="B385" i="23"/>
  <c r="N376" i="23"/>
  <c r="L376" i="23"/>
  <c r="K376" i="23"/>
  <c r="J376" i="23"/>
  <c r="I376" i="23"/>
  <c r="H376" i="23"/>
  <c r="G376" i="23"/>
  <c r="N369" i="23"/>
  <c r="L369" i="23"/>
  <c r="K369" i="23"/>
  <c r="J369" i="23"/>
  <c r="I369" i="23"/>
  <c r="H369" i="23"/>
  <c r="G369" i="23"/>
  <c r="K364" i="23"/>
  <c r="J364" i="23"/>
  <c r="I364" i="23"/>
  <c r="H364" i="23"/>
  <c r="G364" i="23"/>
  <c r="B357" i="23"/>
  <c r="B356" i="23"/>
  <c r="B355" i="23"/>
  <c r="N346" i="23"/>
  <c r="L346" i="23"/>
  <c r="K346" i="23"/>
  <c r="J346" i="23"/>
  <c r="I346" i="23"/>
  <c r="H346" i="23"/>
  <c r="G346" i="23"/>
  <c r="N339" i="23"/>
  <c r="L339" i="23"/>
  <c r="K339" i="23"/>
  <c r="J339" i="23"/>
  <c r="I339" i="23"/>
  <c r="H339" i="23"/>
  <c r="G339" i="23"/>
  <c r="K334" i="23"/>
  <c r="J334" i="23"/>
  <c r="I334" i="23"/>
  <c r="H334" i="23"/>
  <c r="G334" i="23"/>
  <c r="B327" i="23"/>
  <c r="B326" i="23"/>
  <c r="B325" i="23"/>
  <c r="N316" i="23"/>
  <c r="L316" i="23"/>
  <c r="K316" i="23"/>
  <c r="J316" i="23"/>
  <c r="I316" i="23"/>
  <c r="H316" i="23"/>
  <c r="G316" i="23"/>
  <c r="N309" i="23"/>
  <c r="L309" i="23"/>
  <c r="K309" i="23"/>
  <c r="J309" i="23"/>
  <c r="I309" i="23"/>
  <c r="H309" i="23"/>
  <c r="G309" i="23"/>
  <c r="K304" i="23"/>
  <c r="J304" i="23"/>
  <c r="I304" i="23"/>
  <c r="H304" i="23"/>
  <c r="G304" i="23"/>
  <c r="B297" i="23"/>
  <c r="B296" i="23"/>
  <c r="B295" i="23"/>
  <c r="N286" i="23"/>
  <c r="L286" i="23"/>
  <c r="K286" i="23"/>
  <c r="J286" i="23"/>
  <c r="I286" i="23"/>
  <c r="H286" i="23"/>
  <c r="G286" i="23"/>
  <c r="N279" i="23"/>
  <c r="L279" i="23"/>
  <c r="K279" i="23"/>
  <c r="J279" i="23"/>
  <c r="I279" i="23"/>
  <c r="H279" i="23"/>
  <c r="G279" i="23"/>
  <c r="K274" i="23"/>
  <c r="J274" i="23"/>
  <c r="I274" i="23"/>
  <c r="H274" i="23"/>
  <c r="G274" i="23"/>
  <c r="B267" i="23"/>
  <c r="B266" i="23"/>
  <c r="B265" i="23"/>
  <c r="N256" i="23"/>
  <c r="L256" i="23"/>
  <c r="K256" i="23"/>
  <c r="J256" i="23"/>
  <c r="I256" i="23"/>
  <c r="H256" i="23"/>
  <c r="G256" i="23"/>
  <c r="N249" i="23"/>
  <c r="L249" i="23"/>
  <c r="K249" i="23"/>
  <c r="J249" i="23"/>
  <c r="I249" i="23"/>
  <c r="H249" i="23"/>
  <c r="G249" i="23"/>
  <c r="K244" i="23"/>
  <c r="J244" i="23"/>
  <c r="I244" i="23"/>
  <c r="H244" i="23"/>
  <c r="G244" i="23"/>
  <c r="B237" i="23"/>
  <c r="B236" i="23"/>
  <c r="B235" i="23"/>
  <c r="N226" i="23"/>
  <c r="L226" i="23"/>
  <c r="K226" i="23"/>
  <c r="J226" i="23"/>
  <c r="I226" i="23"/>
  <c r="H226" i="23"/>
  <c r="G226" i="23"/>
  <c r="N219" i="23"/>
  <c r="L219" i="23"/>
  <c r="K219" i="23"/>
  <c r="J219" i="23"/>
  <c r="I219" i="23"/>
  <c r="H219" i="23"/>
  <c r="G219" i="23"/>
  <c r="K214" i="23"/>
  <c r="J214" i="23"/>
  <c r="I214" i="23"/>
  <c r="H214" i="23"/>
  <c r="G214" i="23"/>
  <c r="B207" i="23"/>
  <c r="B206" i="23"/>
  <c r="B205" i="23"/>
  <c r="N196" i="23"/>
  <c r="L196" i="23"/>
  <c r="K196" i="23"/>
  <c r="J196" i="23"/>
  <c r="I196" i="23"/>
  <c r="H196" i="23"/>
  <c r="G196" i="23"/>
  <c r="N189" i="23"/>
  <c r="L189" i="23"/>
  <c r="K189" i="23"/>
  <c r="J189" i="23"/>
  <c r="I189" i="23"/>
  <c r="H189" i="23"/>
  <c r="G189" i="23"/>
  <c r="K184" i="23"/>
  <c r="J184" i="23"/>
  <c r="I184" i="23"/>
  <c r="H184" i="23"/>
  <c r="G184" i="23"/>
  <c r="B177" i="23"/>
  <c r="B176" i="23"/>
  <c r="B175" i="23"/>
  <c r="N166" i="23"/>
  <c r="L166" i="23"/>
  <c r="K166" i="23"/>
  <c r="J166" i="23"/>
  <c r="I166" i="23"/>
  <c r="H166" i="23"/>
  <c r="G166" i="23"/>
  <c r="N159" i="23"/>
  <c r="L159" i="23"/>
  <c r="K159" i="23"/>
  <c r="J159" i="23"/>
  <c r="I159" i="23"/>
  <c r="H159" i="23"/>
  <c r="G159" i="23"/>
  <c r="K154" i="23"/>
  <c r="J154" i="23"/>
  <c r="I154" i="23"/>
  <c r="H154" i="23"/>
  <c r="G154" i="23"/>
  <c r="J131" i="23"/>
  <c r="B127" i="23"/>
  <c r="H125" i="23"/>
  <c r="I125" i="23" s="1"/>
  <c r="J125" i="23" s="1"/>
  <c r="B120" i="23"/>
  <c r="B115" i="23"/>
  <c r="B110" i="23"/>
  <c r="B105" i="23"/>
  <c r="B100" i="23"/>
  <c r="B95" i="23"/>
  <c r="B90" i="23"/>
  <c r="B85" i="23"/>
  <c r="I82" i="23"/>
  <c r="J82" i="23" s="1"/>
  <c r="H82" i="23"/>
  <c r="L74" i="23"/>
  <c r="B74" i="23"/>
  <c r="H72" i="23"/>
  <c r="I72" i="23" s="1"/>
  <c r="J72" i="23" s="1"/>
  <c r="L67" i="23"/>
  <c r="B67" i="23"/>
  <c r="L62" i="23"/>
  <c r="B62" i="23"/>
  <c r="B58" i="23"/>
  <c r="L57" i="23"/>
  <c r="B57" i="23"/>
  <c r="L52" i="23"/>
  <c r="B52" i="23"/>
  <c r="L47" i="23"/>
  <c r="B47" i="23"/>
  <c r="L42" i="23"/>
  <c r="B42" i="23"/>
  <c r="B38" i="23"/>
  <c r="L37" i="23"/>
  <c r="B37" i="23"/>
  <c r="B33" i="23"/>
  <c r="L32" i="23"/>
  <c r="B32" i="23"/>
  <c r="I29" i="23"/>
  <c r="J29" i="23" s="1"/>
  <c r="H29" i="23"/>
  <c r="G22" i="23"/>
  <c r="H13" i="23"/>
  <c r="B7" i="23"/>
  <c r="B4" i="23"/>
  <c r="L2" i="23"/>
  <c r="K2" i="23"/>
  <c r="E2" i="23"/>
  <c r="D2" i="23"/>
  <c r="B2" i="23"/>
  <c r="F103" i="22"/>
  <c r="E102" i="22"/>
  <c r="D102" i="22"/>
  <c r="D103" i="22" s="1"/>
  <c r="D101" i="22"/>
  <c r="C100" i="22"/>
  <c r="E99" i="22"/>
  <c r="F90" i="22"/>
  <c r="F80" i="22" s="1"/>
  <c r="E90" i="22"/>
  <c r="D90" i="22"/>
  <c r="C90" i="22"/>
  <c r="H89" i="22"/>
  <c r="J88" i="22"/>
  <c r="H88" i="22"/>
  <c r="H87" i="22"/>
  <c r="H90" i="22" s="1"/>
  <c r="H86" i="22"/>
  <c r="B86" i="22"/>
  <c r="B100" i="22" s="1"/>
  <c r="D80" i="22"/>
  <c r="F79" i="22"/>
  <c r="E79" i="22"/>
  <c r="E80" i="22" s="1"/>
  <c r="D79" i="22"/>
  <c r="E78" i="22"/>
  <c r="B78" i="22"/>
  <c r="B89" i="22" s="1"/>
  <c r="B103" i="22" s="1"/>
  <c r="H77" i="22"/>
  <c r="D77" i="22"/>
  <c r="B77" i="22"/>
  <c r="B88" i="22" s="1"/>
  <c r="B102" i="22" s="1"/>
  <c r="H76" i="22"/>
  <c r="C76" i="22"/>
  <c r="C79" i="22" s="1"/>
  <c r="C80" i="22" s="1"/>
  <c r="H75" i="22"/>
  <c r="F63" i="22"/>
  <c r="F74" i="22" s="1"/>
  <c r="F85" i="22" s="1"/>
  <c r="F99" i="22" s="1"/>
  <c r="E63" i="22"/>
  <c r="E74" i="22" s="1"/>
  <c r="E85" i="22" s="1"/>
  <c r="D63" i="22"/>
  <c r="C63" i="22"/>
  <c r="B75" i="22" s="1"/>
  <c r="D55" i="22"/>
  <c r="H22" i="23" s="1"/>
  <c r="H121" i="23" s="1"/>
  <c r="C55" i="22"/>
  <c r="D54" i="22"/>
  <c r="H21" i="23" s="1"/>
  <c r="H116" i="23" s="1"/>
  <c r="C54" i="22"/>
  <c r="G21" i="23" s="1"/>
  <c r="D53" i="22"/>
  <c r="H20" i="23" s="1"/>
  <c r="H111" i="23" s="1"/>
  <c r="C53" i="22"/>
  <c r="G20" i="23" s="1"/>
  <c r="D52" i="22"/>
  <c r="H19" i="23" s="1"/>
  <c r="H106" i="23" s="1"/>
  <c r="C52" i="22"/>
  <c r="G19" i="23" s="1"/>
  <c r="D51" i="22"/>
  <c r="H18" i="23" s="1"/>
  <c r="H101" i="23" s="1"/>
  <c r="C51" i="22"/>
  <c r="G18" i="23" s="1"/>
  <c r="G100" i="23" s="1"/>
  <c r="D50" i="22"/>
  <c r="H17" i="23" s="1"/>
  <c r="H96" i="23" s="1"/>
  <c r="C50" i="22"/>
  <c r="G17" i="23" s="1"/>
  <c r="D49" i="22"/>
  <c r="H16" i="23" s="1"/>
  <c r="H91" i="23" s="1"/>
  <c r="C49" i="22"/>
  <c r="G16" i="23" s="1"/>
  <c r="D48" i="22"/>
  <c r="C48" i="22"/>
  <c r="G15" i="23" s="1"/>
  <c r="C47" i="22"/>
  <c r="F46" i="22"/>
  <c r="E46" i="22"/>
  <c r="D46" i="22"/>
  <c r="C46" i="22"/>
  <c r="F43" i="22"/>
  <c r="F55" i="22" s="1"/>
  <c r="J22" i="23" s="1"/>
  <c r="J123" i="23" s="1"/>
  <c r="E43" i="22"/>
  <c r="E55" i="22" s="1"/>
  <c r="I22" i="23" s="1"/>
  <c r="I122" i="23" s="1"/>
  <c r="F31" i="22"/>
  <c r="E31" i="22"/>
  <c r="D31" i="22"/>
  <c r="F21" i="22"/>
  <c r="E21" i="22"/>
  <c r="D21" i="22"/>
  <c r="F8" i="22"/>
  <c r="E8" i="22"/>
  <c r="D8" i="22"/>
  <c r="C8" i="22"/>
  <c r="C5" i="22"/>
  <c r="C4" i="22"/>
  <c r="M3" i="22"/>
  <c r="L3" i="22"/>
  <c r="K3" i="22"/>
  <c r="G44" i="16"/>
  <c r="E44" i="16"/>
  <c r="I41" i="16"/>
  <c r="I44" i="16" s="1"/>
  <c r="G41" i="16"/>
  <c r="I38" i="16"/>
  <c r="G38" i="16"/>
  <c r="I35" i="16"/>
  <c r="G35" i="16"/>
  <c r="I32" i="16"/>
  <c r="G32" i="16"/>
  <c r="I29" i="16"/>
  <c r="G29" i="16"/>
  <c r="I26" i="16"/>
  <c r="G26" i="16"/>
  <c r="I23" i="16"/>
  <c r="G23" i="16"/>
  <c r="I21" i="16"/>
  <c r="G21" i="16"/>
  <c r="E21" i="16"/>
  <c r="I16" i="16"/>
  <c r="G16" i="16"/>
  <c r="E16" i="16"/>
  <c r="O15" i="16"/>
  <c r="N15" i="16"/>
  <c r="K15" i="16"/>
  <c r="K14" i="16"/>
  <c r="A1" i="16"/>
  <c r="G34" i="15"/>
  <c r="E34" i="15"/>
  <c r="I31" i="15"/>
  <c r="G31" i="15"/>
  <c r="I28" i="15"/>
  <c r="G28" i="15"/>
  <c r="I25" i="15"/>
  <c r="G25" i="15"/>
  <c r="I22" i="15"/>
  <c r="G22" i="15"/>
  <c r="I15" i="15"/>
  <c r="G15" i="15"/>
  <c r="E15" i="15"/>
  <c r="O14" i="15"/>
  <c r="N14" i="15"/>
  <c r="K14" i="15"/>
  <c r="A1" i="15"/>
  <c r="J44" i="13"/>
  <c r="H44" i="13"/>
  <c r="J38" i="13"/>
  <c r="H38" i="13"/>
  <c r="J35" i="13"/>
  <c r="H35" i="13"/>
  <c r="J33" i="13"/>
  <c r="H33" i="13"/>
  <c r="J31" i="13"/>
  <c r="J30" i="13" s="1"/>
  <c r="H31" i="13"/>
  <c r="H30" i="13" s="1"/>
  <c r="F30" i="13"/>
  <c r="F47" i="13" s="1"/>
  <c r="J27" i="13"/>
  <c r="H27" i="13"/>
  <c r="H24" i="13"/>
  <c r="J24" i="13" s="1"/>
  <c r="J21" i="13"/>
  <c r="H21" i="13"/>
  <c r="H18" i="13"/>
  <c r="F17" i="13"/>
  <c r="J15" i="13"/>
  <c r="H15" i="13"/>
  <c r="F15" i="13"/>
  <c r="O2" i="13"/>
  <c r="N2" i="13"/>
  <c r="L2" i="13"/>
  <c r="L1" i="13"/>
  <c r="A1" i="13"/>
  <c r="B447" i="21"/>
  <c r="B446" i="21"/>
  <c r="B445" i="21"/>
  <c r="B444" i="21"/>
  <c r="N434" i="21"/>
  <c r="L434" i="21"/>
  <c r="I434" i="21"/>
  <c r="H434" i="21"/>
  <c r="G434" i="21"/>
  <c r="N426" i="21"/>
  <c r="L426" i="21"/>
  <c r="I426" i="21"/>
  <c r="H426" i="21"/>
  <c r="G426" i="21"/>
  <c r="N419" i="21"/>
  <c r="L419" i="21"/>
  <c r="I419" i="21"/>
  <c r="H419" i="21"/>
  <c r="G419" i="21"/>
  <c r="K414" i="21"/>
  <c r="I414" i="21"/>
  <c r="H414" i="21"/>
  <c r="G414" i="21"/>
  <c r="B407" i="21"/>
  <c r="B406" i="21"/>
  <c r="B405" i="21"/>
  <c r="B404" i="21"/>
  <c r="N394" i="21"/>
  <c r="L394" i="21"/>
  <c r="I394" i="21"/>
  <c r="H394" i="21"/>
  <c r="G394" i="21"/>
  <c r="N386" i="21"/>
  <c r="L386" i="21"/>
  <c r="I386" i="21"/>
  <c r="H386" i="21"/>
  <c r="G386" i="21"/>
  <c r="N379" i="21"/>
  <c r="L379" i="21"/>
  <c r="I379" i="21"/>
  <c r="H379" i="21"/>
  <c r="G379" i="21"/>
  <c r="K374" i="21"/>
  <c r="I374" i="21"/>
  <c r="H374" i="21"/>
  <c r="G374" i="21"/>
  <c r="B367" i="21"/>
  <c r="B366" i="21"/>
  <c r="B365" i="21"/>
  <c r="B364" i="21"/>
  <c r="N354" i="21"/>
  <c r="L354" i="21"/>
  <c r="I354" i="21"/>
  <c r="H354" i="21"/>
  <c r="G354" i="21"/>
  <c r="N346" i="21"/>
  <c r="L346" i="21"/>
  <c r="I346" i="21"/>
  <c r="H346" i="21"/>
  <c r="G346" i="21"/>
  <c r="N339" i="21"/>
  <c r="L339" i="21"/>
  <c r="I339" i="21"/>
  <c r="H339" i="21"/>
  <c r="G339" i="21"/>
  <c r="K334" i="21"/>
  <c r="I334" i="21"/>
  <c r="H334" i="21"/>
  <c r="G334" i="21"/>
  <c r="B327" i="21"/>
  <c r="B326" i="21"/>
  <c r="B325" i="21"/>
  <c r="B324" i="21"/>
  <c r="N314" i="21"/>
  <c r="L314" i="21"/>
  <c r="I314" i="21"/>
  <c r="H314" i="21"/>
  <c r="G314" i="21"/>
  <c r="N306" i="21"/>
  <c r="L306" i="21"/>
  <c r="I306" i="21"/>
  <c r="H306" i="21"/>
  <c r="G306" i="21"/>
  <c r="N299" i="21"/>
  <c r="L299" i="21"/>
  <c r="I299" i="21"/>
  <c r="H299" i="21"/>
  <c r="G299" i="21"/>
  <c r="K294" i="21"/>
  <c r="I294" i="21"/>
  <c r="H294" i="21"/>
  <c r="G294" i="21"/>
  <c r="B287" i="21"/>
  <c r="B286" i="21"/>
  <c r="B285" i="21"/>
  <c r="B284" i="21"/>
  <c r="N274" i="21"/>
  <c r="L274" i="21"/>
  <c r="I274" i="21"/>
  <c r="H274" i="21"/>
  <c r="G274" i="21"/>
  <c r="N266" i="21"/>
  <c r="L266" i="21"/>
  <c r="I266" i="21"/>
  <c r="H266" i="21"/>
  <c r="G266" i="21"/>
  <c r="N259" i="21"/>
  <c r="L259" i="21"/>
  <c r="I259" i="21"/>
  <c r="H259" i="21"/>
  <c r="G259" i="21"/>
  <c r="K254" i="21"/>
  <c r="I254" i="21"/>
  <c r="H254" i="21"/>
  <c r="G254" i="21"/>
  <c r="B247" i="21"/>
  <c r="B246" i="21"/>
  <c r="B245" i="21"/>
  <c r="B244" i="21"/>
  <c r="N234" i="21"/>
  <c r="L234" i="21"/>
  <c r="I234" i="21"/>
  <c r="H234" i="21"/>
  <c r="G234" i="21"/>
  <c r="N226" i="21"/>
  <c r="L226" i="21"/>
  <c r="I226" i="21"/>
  <c r="H226" i="21"/>
  <c r="G226" i="21"/>
  <c r="N219" i="21"/>
  <c r="L219" i="21"/>
  <c r="I219" i="21"/>
  <c r="H219" i="21"/>
  <c r="G219" i="21"/>
  <c r="K214" i="21"/>
  <c r="I214" i="21"/>
  <c r="H214" i="21"/>
  <c r="G214" i="21"/>
  <c r="B207" i="21"/>
  <c r="B206" i="21"/>
  <c r="B205" i="21"/>
  <c r="B204" i="21"/>
  <c r="N194" i="21"/>
  <c r="L194" i="21"/>
  <c r="I194" i="21"/>
  <c r="H194" i="21"/>
  <c r="G194" i="21"/>
  <c r="N186" i="21"/>
  <c r="L186" i="21"/>
  <c r="I186" i="21"/>
  <c r="H186" i="21"/>
  <c r="G186" i="21"/>
  <c r="N179" i="21"/>
  <c r="L179" i="21"/>
  <c r="I179" i="21"/>
  <c r="H179" i="21"/>
  <c r="G179" i="21"/>
  <c r="K174" i="21"/>
  <c r="I174" i="21"/>
  <c r="H174" i="21"/>
  <c r="G174" i="21"/>
  <c r="B146" i="21"/>
  <c r="L144" i="21"/>
  <c r="H144" i="21"/>
  <c r="I144" i="21" s="1"/>
  <c r="J144" i="21" s="1"/>
  <c r="K144" i="21" s="1"/>
  <c r="B137" i="21"/>
  <c r="B130" i="21"/>
  <c r="B123" i="21"/>
  <c r="B116" i="21"/>
  <c r="B109" i="21"/>
  <c r="B102" i="21"/>
  <c r="B95" i="21"/>
  <c r="H92" i="21"/>
  <c r="I92" i="21" s="1"/>
  <c r="J92" i="21" s="1"/>
  <c r="K92" i="21" s="1"/>
  <c r="L92" i="21" s="1"/>
  <c r="N83" i="21"/>
  <c r="B82" i="21"/>
  <c r="H80" i="21"/>
  <c r="I80" i="21" s="1"/>
  <c r="J80" i="21" s="1"/>
  <c r="K80" i="21" s="1"/>
  <c r="L80" i="21" s="1"/>
  <c r="N74" i="21"/>
  <c r="B74" i="21"/>
  <c r="N73" i="21"/>
  <c r="B73" i="21"/>
  <c r="N67" i="21"/>
  <c r="N66" i="21"/>
  <c r="B66" i="21"/>
  <c r="N60" i="21"/>
  <c r="B60" i="21"/>
  <c r="N59" i="21"/>
  <c r="B59" i="21"/>
  <c r="N53" i="21"/>
  <c r="N52" i="21"/>
  <c r="B52" i="21"/>
  <c r="N46" i="21"/>
  <c r="B46" i="21"/>
  <c r="N45" i="21"/>
  <c r="B45" i="21"/>
  <c r="N39" i="21"/>
  <c r="N38" i="21"/>
  <c r="B38" i="21"/>
  <c r="N32" i="21"/>
  <c r="B32" i="21"/>
  <c r="N31" i="21"/>
  <c r="N82" i="21" s="1"/>
  <c r="B31" i="21"/>
  <c r="H28" i="21"/>
  <c r="I28" i="21" s="1"/>
  <c r="J28" i="21" s="1"/>
  <c r="K28" i="21" s="1"/>
  <c r="L28" i="21" s="1"/>
  <c r="H23" i="21"/>
  <c r="K21" i="21"/>
  <c r="G21" i="21"/>
  <c r="J20" i="21"/>
  <c r="J133" i="21" s="1"/>
  <c r="J134" i="21" s="1"/>
  <c r="L18" i="21"/>
  <c r="L121" i="21" s="1"/>
  <c r="H18" i="21"/>
  <c r="H117" i="21" s="1"/>
  <c r="H118" i="21" s="1"/>
  <c r="K17" i="21"/>
  <c r="K113" i="21" s="1"/>
  <c r="K114" i="21" s="1"/>
  <c r="G17" i="21"/>
  <c r="J16" i="21"/>
  <c r="J105" i="21" s="1"/>
  <c r="J106" i="21" s="1"/>
  <c r="I15" i="21"/>
  <c r="I97" i="21" s="1"/>
  <c r="H13" i="21"/>
  <c r="B7" i="21"/>
  <c r="B4" i="21"/>
  <c r="E2" i="21"/>
  <c r="D2" i="21"/>
  <c r="B2" i="21"/>
  <c r="N1" i="21"/>
  <c r="L1" i="21"/>
  <c r="H85" i="8"/>
  <c r="G84" i="8"/>
  <c r="G85" i="8" s="1"/>
  <c r="F83" i="8"/>
  <c r="C83" i="8"/>
  <c r="C84" i="8" s="1"/>
  <c r="E82" i="8"/>
  <c r="E83" i="8" s="1"/>
  <c r="E84" i="8" s="1"/>
  <c r="E85" i="8" s="1"/>
  <c r="C82" i="8"/>
  <c r="D81" i="8"/>
  <c r="C81" i="8"/>
  <c r="J81" i="8" s="1"/>
  <c r="J80" i="8"/>
  <c r="C80" i="8"/>
  <c r="H70" i="8"/>
  <c r="H58" i="8" s="1"/>
  <c r="G70" i="8"/>
  <c r="F70" i="8"/>
  <c r="E70" i="8"/>
  <c r="D70" i="8"/>
  <c r="C70" i="8"/>
  <c r="J69" i="8"/>
  <c r="J68" i="8"/>
  <c r="J67" i="8"/>
  <c r="J66" i="8"/>
  <c r="J65" i="8"/>
  <c r="J70" i="8" s="1"/>
  <c r="L64" i="8"/>
  <c r="J64" i="8"/>
  <c r="G58" i="8"/>
  <c r="C58" i="8"/>
  <c r="H57" i="8"/>
  <c r="G57" i="8"/>
  <c r="C57" i="8"/>
  <c r="J56" i="8"/>
  <c r="L69" i="8" s="1"/>
  <c r="G56" i="8"/>
  <c r="F55" i="8"/>
  <c r="J55" i="8" s="1"/>
  <c r="L68" i="8" s="1"/>
  <c r="E54" i="8"/>
  <c r="E57" i="8" s="1"/>
  <c r="E58" i="8" s="1"/>
  <c r="B54" i="8"/>
  <c r="D53" i="8"/>
  <c r="J53" i="8" s="1"/>
  <c r="L66" i="8" s="1"/>
  <c r="B53" i="8"/>
  <c r="J52" i="8"/>
  <c r="L65" i="8" s="1"/>
  <c r="C52" i="8"/>
  <c r="J51" i="8"/>
  <c r="F50" i="8"/>
  <c r="E50" i="8"/>
  <c r="H39" i="8"/>
  <c r="H50" i="8" s="1"/>
  <c r="G39" i="8"/>
  <c r="F39" i="8"/>
  <c r="E39" i="8"/>
  <c r="D39" i="8"/>
  <c r="D50" i="8" s="1"/>
  <c r="C39" i="8"/>
  <c r="C50" i="8" s="1"/>
  <c r="H31" i="8"/>
  <c r="L21" i="21" s="1"/>
  <c r="L142" i="21" s="1"/>
  <c r="G31" i="8"/>
  <c r="F31" i="8"/>
  <c r="J21" i="21" s="1"/>
  <c r="E31" i="8"/>
  <c r="I21" i="21" s="1"/>
  <c r="D31" i="8"/>
  <c r="H21" i="21" s="1"/>
  <c r="H138" i="21" s="1"/>
  <c r="H139" i="21" s="1"/>
  <c r="C31" i="8"/>
  <c r="H30" i="8"/>
  <c r="L20" i="21" s="1"/>
  <c r="L135" i="21" s="1"/>
  <c r="G30" i="8"/>
  <c r="K20" i="21" s="1"/>
  <c r="K134" i="21" s="1"/>
  <c r="K135" i="21" s="1"/>
  <c r="F30" i="8"/>
  <c r="E30" i="8"/>
  <c r="I20" i="21" s="1"/>
  <c r="I132" i="21" s="1"/>
  <c r="I133" i="21" s="1"/>
  <c r="D30" i="8"/>
  <c r="H20" i="21" s="1"/>
  <c r="H131" i="21" s="1"/>
  <c r="H132" i="21" s="1"/>
  <c r="C30" i="8"/>
  <c r="G20" i="21" s="1"/>
  <c r="H29" i="8"/>
  <c r="L19" i="21" s="1"/>
  <c r="L128" i="21" s="1"/>
  <c r="G29" i="8"/>
  <c r="K19" i="21" s="1"/>
  <c r="K127" i="21" s="1"/>
  <c r="K128" i="21" s="1"/>
  <c r="F29" i="8"/>
  <c r="J19" i="21" s="1"/>
  <c r="J126" i="21" s="1"/>
  <c r="J127" i="21" s="1"/>
  <c r="E29" i="8"/>
  <c r="I19" i="21" s="1"/>
  <c r="I125" i="21" s="1"/>
  <c r="I126" i="21" s="1"/>
  <c r="D29" i="8"/>
  <c r="H19" i="21" s="1"/>
  <c r="H124" i="21" s="1"/>
  <c r="H125" i="21" s="1"/>
  <c r="C29" i="8"/>
  <c r="G19" i="21" s="1"/>
  <c r="G123" i="21" s="1"/>
  <c r="H28" i="8"/>
  <c r="G28" i="8"/>
  <c r="K18" i="21" s="1"/>
  <c r="K120" i="21" s="1"/>
  <c r="K121" i="21" s="1"/>
  <c r="F28" i="8"/>
  <c r="J18" i="21" s="1"/>
  <c r="J119" i="21" s="1"/>
  <c r="J120" i="21" s="1"/>
  <c r="E28" i="8"/>
  <c r="I18" i="21" s="1"/>
  <c r="I118" i="21" s="1"/>
  <c r="I119" i="21" s="1"/>
  <c r="D28" i="8"/>
  <c r="C28" i="8"/>
  <c r="G18" i="21" s="1"/>
  <c r="H27" i="8"/>
  <c r="L17" i="21" s="1"/>
  <c r="L114" i="21" s="1"/>
  <c r="G27" i="8"/>
  <c r="F27" i="8"/>
  <c r="J17" i="21" s="1"/>
  <c r="J112" i="21" s="1"/>
  <c r="J113" i="21" s="1"/>
  <c r="E27" i="8"/>
  <c r="I17" i="21" s="1"/>
  <c r="I111" i="21" s="1"/>
  <c r="I112" i="21" s="1"/>
  <c r="G269" i="21" s="1"/>
  <c r="D27" i="8"/>
  <c r="H17" i="21" s="1"/>
  <c r="H110" i="21" s="1"/>
  <c r="H111" i="21" s="1"/>
  <c r="C27" i="8"/>
  <c r="H26" i="8"/>
  <c r="L16" i="21" s="1"/>
  <c r="L107" i="21" s="1"/>
  <c r="G26" i="8"/>
  <c r="K16" i="21" s="1"/>
  <c r="K106" i="21" s="1"/>
  <c r="K107" i="21" s="1"/>
  <c r="F26" i="8"/>
  <c r="E26" i="8"/>
  <c r="I16" i="21" s="1"/>
  <c r="I104" i="21" s="1"/>
  <c r="I105" i="21" s="1"/>
  <c r="D26" i="8"/>
  <c r="H16" i="21" s="1"/>
  <c r="H103" i="21" s="1"/>
  <c r="H104" i="21" s="1"/>
  <c r="C26" i="8"/>
  <c r="G16" i="21" s="1"/>
  <c r="H25" i="8"/>
  <c r="L15" i="21" s="1"/>
  <c r="L100" i="21" s="1"/>
  <c r="L151" i="21" s="1"/>
  <c r="G25" i="8"/>
  <c r="K15" i="21" s="1"/>
  <c r="K99" i="21" s="1"/>
  <c r="F25" i="8"/>
  <c r="F24" i="8" s="1"/>
  <c r="E25" i="8"/>
  <c r="E24" i="8" s="1"/>
  <c r="D25" i="8"/>
  <c r="H15" i="21" s="1"/>
  <c r="H96" i="21" s="1"/>
  <c r="C25" i="8"/>
  <c r="G15" i="21" s="1"/>
  <c r="H24" i="8"/>
  <c r="G24" i="8"/>
  <c r="D24" i="8"/>
  <c r="C24" i="8"/>
  <c r="H16" i="8"/>
  <c r="G16" i="8"/>
  <c r="F16" i="8"/>
  <c r="E16" i="8"/>
  <c r="D16" i="8"/>
  <c r="C16" i="8"/>
  <c r="H8" i="8"/>
  <c r="G8" i="8"/>
  <c r="F8" i="8"/>
  <c r="E8" i="8"/>
  <c r="D8" i="8"/>
  <c r="C8" i="8"/>
  <c r="C5" i="8"/>
  <c r="C4" i="8"/>
  <c r="O3" i="8"/>
  <c r="N3" i="8"/>
  <c r="M3" i="8"/>
  <c r="H3" i="8"/>
  <c r="G3" i="8"/>
  <c r="F3" i="8"/>
  <c r="E3" i="8"/>
  <c r="D3" i="8"/>
  <c r="C3" i="8"/>
  <c r="A94" i="20"/>
  <c r="A93" i="20"/>
  <c r="A92" i="20"/>
  <c r="A91" i="20"/>
  <c r="M81" i="20"/>
  <c r="K81" i="20"/>
  <c r="J81" i="20"/>
  <c r="I81" i="20"/>
  <c r="H81" i="20"/>
  <c r="G81" i="20"/>
  <c r="F81" i="20"/>
  <c r="M73" i="20"/>
  <c r="K73" i="20"/>
  <c r="J73" i="20"/>
  <c r="I73" i="20"/>
  <c r="H73" i="20"/>
  <c r="G73" i="20"/>
  <c r="F73" i="20"/>
  <c r="M66" i="20"/>
  <c r="K66" i="20"/>
  <c r="J66" i="20"/>
  <c r="I66" i="20"/>
  <c r="H66" i="20"/>
  <c r="G66" i="20"/>
  <c r="F66" i="20"/>
  <c r="F62" i="20"/>
  <c r="H62" i="20" s="1"/>
  <c r="I62" i="20" s="1"/>
  <c r="J61" i="20"/>
  <c r="I61" i="20"/>
  <c r="H61" i="20"/>
  <c r="G61" i="20"/>
  <c r="F61" i="20"/>
  <c r="H54" i="20"/>
  <c r="G54" i="20"/>
  <c r="G53" i="20"/>
  <c r="F53" i="20"/>
  <c r="F52" i="20"/>
  <c r="E51" i="20"/>
  <c r="E52" i="20" s="1"/>
  <c r="D50" i="20"/>
  <c r="D51" i="20" s="1"/>
  <c r="J49" i="20"/>
  <c r="C49" i="20"/>
  <c r="H40" i="20"/>
  <c r="G40" i="20"/>
  <c r="B37" i="20"/>
  <c r="B52" i="20" s="1"/>
  <c r="J35" i="20"/>
  <c r="J34" i="20"/>
  <c r="B34" i="20"/>
  <c r="B49" i="20" s="1"/>
  <c r="E33" i="20"/>
  <c r="E48" i="20" s="1"/>
  <c r="H28" i="20"/>
  <c r="H27" i="20"/>
  <c r="G27" i="20"/>
  <c r="C27" i="20"/>
  <c r="G26" i="20"/>
  <c r="J26" i="20" s="1"/>
  <c r="B26" i="20"/>
  <c r="B39" i="20" s="1"/>
  <c r="B54" i="20" s="1"/>
  <c r="J25" i="20"/>
  <c r="F25" i="20"/>
  <c r="F27" i="20" s="1"/>
  <c r="B25" i="20"/>
  <c r="B38" i="20" s="1"/>
  <c r="B53" i="20" s="1"/>
  <c r="E24" i="20"/>
  <c r="F76" i="20" s="1"/>
  <c r="B24" i="20"/>
  <c r="J23" i="20"/>
  <c r="D23" i="20"/>
  <c r="F68" i="20" s="1"/>
  <c r="B23" i="20"/>
  <c r="B36" i="20" s="1"/>
  <c r="B51" i="20" s="1"/>
  <c r="C22" i="20"/>
  <c r="J22" i="20" s="1"/>
  <c r="B22" i="20"/>
  <c r="B35" i="20" s="1"/>
  <c r="B50" i="20" s="1"/>
  <c r="J21" i="20"/>
  <c r="B21" i="20"/>
  <c r="H20" i="20"/>
  <c r="H33" i="20" s="1"/>
  <c r="H48" i="20" s="1"/>
  <c r="G20" i="20"/>
  <c r="G33" i="20" s="1"/>
  <c r="G48" i="20" s="1"/>
  <c r="F20" i="20"/>
  <c r="F33" i="20" s="1"/>
  <c r="F48" i="20" s="1"/>
  <c r="E20" i="20"/>
  <c r="D20" i="20"/>
  <c r="D33" i="20" s="1"/>
  <c r="D48" i="20" s="1"/>
  <c r="C20" i="20"/>
  <c r="C33" i="20" s="1"/>
  <c r="C48" i="20" s="1"/>
  <c r="C7" i="20"/>
  <c r="C6" i="20"/>
  <c r="O4" i="20"/>
  <c r="N4" i="20"/>
  <c r="M4" i="20"/>
  <c r="B504" i="19"/>
  <c r="B503" i="19"/>
  <c r="B502" i="19"/>
  <c r="B501" i="19"/>
  <c r="G495" i="19"/>
  <c r="N491" i="19"/>
  <c r="L491" i="19"/>
  <c r="K491" i="19"/>
  <c r="J491" i="19"/>
  <c r="I491" i="19"/>
  <c r="H491" i="19"/>
  <c r="G491" i="19"/>
  <c r="N483" i="19"/>
  <c r="L483" i="19"/>
  <c r="K483" i="19"/>
  <c r="J483" i="19"/>
  <c r="I483" i="19"/>
  <c r="H483" i="19"/>
  <c r="G483" i="19"/>
  <c r="N476" i="19"/>
  <c r="L476" i="19"/>
  <c r="K476" i="19"/>
  <c r="J476" i="19"/>
  <c r="I476" i="19"/>
  <c r="H476" i="19"/>
  <c r="G476" i="19"/>
  <c r="I472" i="19"/>
  <c r="J472" i="19" s="1"/>
  <c r="K471" i="19"/>
  <c r="J471" i="19"/>
  <c r="I471" i="19"/>
  <c r="H471" i="19"/>
  <c r="G471" i="19"/>
  <c r="B464" i="19"/>
  <c r="B463" i="19"/>
  <c r="B462" i="19"/>
  <c r="B461" i="19"/>
  <c r="N451" i="19"/>
  <c r="L451" i="19"/>
  <c r="K451" i="19"/>
  <c r="J451" i="19"/>
  <c r="I451" i="19"/>
  <c r="H451" i="19"/>
  <c r="G451" i="19"/>
  <c r="N443" i="19"/>
  <c r="L443" i="19"/>
  <c r="K443" i="19"/>
  <c r="J443" i="19"/>
  <c r="I443" i="19"/>
  <c r="H443" i="19"/>
  <c r="G443" i="19"/>
  <c r="N436" i="19"/>
  <c r="L436" i="19"/>
  <c r="K436" i="19"/>
  <c r="J436" i="19"/>
  <c r="I436" i="19"/>
  <c r="H436" i="19"/>
  <c r="G436" i="19"/>
  <c r="K431" i="19"/>
  <c r="J431" i="19"/>
  <c r="I431" i="19"/>
  <c r="H431" i="19"/>
  <c r="G431" i="19"/>
  <c r="B424" i="19"/>
  <c r="B423" i="19"/>
  <c r="B422" i="19"/>
  <c r="B421" i="19"/>
  <c r="N411" i="19"/>
  <c r="L411" i="19"/>
  <c r="K411" i="19"/>
  <c r="J411" i="19"/>
  <c r="I411" i="19"/>
  <c r="H411" i="19"/>
  <c r="G411" i="19"/>
  <c r="N403" i="19"/>
  <c r="L403" i="19"/>
  <c r="K403" i="19"/>
  <c r="J403" i="19"/>
  <c r="I403" i="19"/>
  <c r="H403" i="19"/>
  <c r="G403" i="19"/>
  <c r="N396" i="19"/>
  <c r="L396" i="19"/>
  <c r="K396" i="19"/>
  <c r="J396" i="19"/>
  <c r="I396" i="19"/>
  <c r="H396" i="19"/>
  <c r="G396" i="19"/>
  <c r="K391" i="19"/>
  <c r="J391" i="19"/>
  <c r="I391" i="19"/>
  <c r="H391" i="19"/>
  <c r="G391" i="19"/>
  <c r="B384" i="19"/>
  <c r="B383" i="19"/>
  <c r="B382" i="19"/>
  <c r="B381" i="19"/>
  <c r="N371" i="19"/>
  <c r="L371" i="19"/>
  <c r="K371" i="19"/>
  <c r="J371" i="19"/>
  <c r="I371" i="19"/>
  <c r="H371" i="19"/>
  <c r="G371" i="19"/>
  <c r="N363" i="19"/>
  <c r="L363" i="19"/>
  <c r="K363" i="19"/>
  <c r="J363" i="19"/>
  <c r="I363" i="19"/>
  <c r="H363" i="19"/>
  <c r="G363" i="19"/>
  <c r="N356" i="19"/>
  <c r="L356" i="19"/>
  <c r="K356" i="19"/>
  <c r="J356" i="19"/>
  <c r="I356" i="19"/>
  <c r="H356" i="19"/>
  <c r="G356" i="19"/>
  <c r="K351" i="19"/>
  <c r="J351" i="19"/>
  <c r="I351" i="19"/>
  <c r="H351" i="19"/>
  <c r="G351" i="19"/>
  <c r="B344" i="19"/>
  <c r="B343" i="19"/>
  <c r="B342" i="19"/>
  <c r="B341" i="19"/>
  <c r="N331" i="19"/>
  <c r="L331" i="19"/>
  <c r="K331" i="19"/>
  <c r="J331" i="19"/>
  <c r="I331" i="19"/>
  <c r="H331" i="19"/>
  <c r="G331" i="19"/>
  <c r="N323" i="19"/>
  <c r="L323" i="19"/>
  <c r="K323" i="19"/>
  <c r="J323" i="19"/>
  <c r="I323" i="19"/>
  <c r="H323" i="19"/>
  <c r="G323" i="19"/>
  <c r="N316" i="19"/>
  <c r="L316" i="19"/>
  <c r="K316" i="19"/>
  <c r="J316" i="19"/>
  <c r="I316" i="19"/>
  <c r="H316" i="19"/>
  <c r="G316" i="19"/>
  <c r="K311" i="19"/>
  <c r="J311" i="19"/>
  <c r="I311" i="19"/>
  <c r="H311" i="19"/>
  <c r="G311" i="19"/>
  <c r="B304" i="19"/>
  <c r="B303" i="19"/>
  <c r="B302" i="19"/>
  <c r="B301" i="19"/>
  <c r="N291" i="19"/>
  <c r="L291" i="19"/>
  <c r="K291" i="19"/>
  <c r="J291" i="19"/>
  <c r="I291" i="19"/>
  <c r="H291" i="19"/>
  <c r="G291" i="19"/>
  <c r="N283" i="19"/>
  <c r="L283" i="19"/>
  <c r="K283" i="19"/>
  <c r="J283" i="19"/>
  <c r="I283" i="19"/>
  <c r="H283" i="19"/>
  <c r="G283" i="19"/>
  <c r="N276" i="19"/>
  <c r="L276" i="19"/>
  <c r="K276" i="19"/>
  <c r="J276" i="19"/>
  <c r="I276" i="19"/>
  <c r="H276" i="19"/>
  <c r="G276" i="19"/>
  <c r="K271" i="19"/>
  <c r="J271" i="19"/>
  <c r="I271" i="19"/>
  <c r="H271" i="19"/>
  <c r="G271" i="19"/>
  <c r="B264" i="19"/>
  <c r="B263" i="19"/>
  <c r="B262" i="19"/>
  <c r="B261" i="19"/>
  <c r="N251" i="19"/>
  <c r="L251" i="19"/>
  <c r="K251" i="19"/>
  <c r="J251" i="19"/>
  <c r="I251" i="19"/>
  <c r="H251" i="19"/>
  <c r="G251" i="19"/>
  <c r="N243" i="19"/>
  <c r="L243" i="19"/>
  <c r="K243" i="19"/>
  <c r="J243" i="19"/>
  <c r="I243" i="19"/>
  <c r="H243" i="19"/>
  <c r="G243" i="19"/>
  <c r="N236" i="19"/>
  <c r="L236" i="19"/>
  <c r="K236" i="19"/>
  <c r="J236" i="19"/>
  <c r="I236" i="19"/>
  <c r="H236" i="19"/>
  <c r="G236" i="19"/>
  <c r="K231" i="19"/>
  <c r="J231" i="19"/>
  <c r="I231" i="19"/>
  <c r="H231" i="19"/>
  <c r="G231" i="19"/>
  <c r="B224" i="19"/>
  <c r="B223" i="19"/>
  <c r="B222" i="19"/>
  <c r="B221" i="19"/>
  <c r="N211" i="19"/>
  <c r="L211" i="19"/>
  <c r="K211" i="19"/>
  <c r="J211" i="19"/>
  <c r="I211" i="19"/>
  <c r="H211" i="19"/>
  <c r="G211" i="19"/>
  <c r="N203" i="19"/>
  <c r="L203" i="19"/>
  <c r="K203" i="19"/>
  <c r="J203" i="19"/>
  <c r="I203" i="19"/>
  <c r="H203" i="19"/>
  <c r="G203" i="19"/>
  <c r="N196" i="19"/>
  <c r="L196" i="19"/>
  <c r="K196" i="19"/>
  <c r="J196" i="19"/>
  <c r="I196" i="19"/>
  <c r="H196" i="19"/>
  <c r="G196" i="19"/>
  <c r="K191" i="19"/>
  <c r="J191" i="19"/>
  <c r="I191" i="19"/>
  <c r="H191" i="19"/>
  <c r="G191" i="19"/>
  <c r="B162" i="19"/>
  <c r="K160" i="19"/>
  <c r="L160" i="19" s="1"/>
  <c r="J160" i="19"/>
  <c r="I160" i="19"/>
  <c r="H160" i="19"/>
  <c r="L158" i="19"/>
  <c r="K157" i="19"/>
  <c r="K158" i="19" s="1"/>
  <c r="J156" i="19"/>
  <c r="J157" i="19" s="1"/>
  <c r="I156" i="19"/>
  <c r="I155" i="19"/>
  <c r="H154" i="19"/>
  <c r="H155" i="19" s="1"/>
  <c r="G478" i="19" s="1"/>
  <c r="G154" i="19"/>
  <c r="G472" i="19" s="1"/>
  <c r="N153" i="19"/>
  <c r="G153" i="19"/>
  <c r="B153" i="19"/>
  <c r="L151" i="19"/>
  <c r="K150" i="19"/>
  <c r="K151" i="19" s="1"/>
  <c r="J149" i="19"/>
  <c r="I149" i="19"/>
  <c r="G446" i="19" s="1"/>
  <c r="I148" i="19"/>
  <c r="H148" i="19"/>
  <c r="H147" i="19"/>
  <c r="G146" i="19"/>
  <c r="B146" i="19"/>
  <c r="L144" i="19"/>
  <c r="K144" i="19"/>
  <c r="K143" i="19"/>
  <c r="J142" i="19"/>
  <c r="J143" i="19" s="1"/>
  <c r="I141" i="19"/>
  <c r="I142" i="19" s="1"/>
  <c r="G406" i="19" s="1"/>
  <c r="N140" i="19"/>
  <c r="H140" i="19"/>
  <c r="H141" i="19" s="1"/>
  <c r="G140" i="19"/>
  <c r="G392" i="19" s="1"/>
  <c r="I392" i="19" s="1"/>
  <c r="J392" i="19" s="1"/>
  <c r="N139" i="19"/>
  <c r="G139" i="19"/>
  <c r="B139" i="19"/>
  <c r="L137" i="19"/>
  <c r="K136" i="19"/>
  <c r="K137" i="19" s="1"/>
  <c r="J135" i="19"/>
  <c r="J136" i="19" s="1"/>
  <c r="I135" i="19"/>
  <c r="I134" i="19"/>
  <c r="H133" i="19"/>
  <c r="H134" i="19" s="1"/>
  <c r="G132" i="19"/>
  <c r="N132" i="19" s="1"/>
  <c r="B132" i="19"/>
  <c r="L130" i="19"/>
  <c r="K130" i="19"/>
  <c r="K129" i="19"/>
  <c r="J128" i="19"/>
  <c r="J129" i="19" s="1"/>
  <c r="I127" i="19"/>
  <c r="I128" i="19" s="1"/>
  <c r="H126" i="19"/>
  <c r="H127" i="19" s="1"/>
  <c r="G126" i="19"/>
  <c r="N125" i="19"/>
  <c r="G125" i="19"/>
  <c r="B125" i="19"/>
  <c r="L123" i="19"/>
  <c r="K122" i="19"/>
  <c r="K123" i="19" s="1"/>
  <c r="J122" i="19"/>
  <c r="G295" i="19" s="1"/>
  <c r="J121" i="19"/>
  <c r="I121" i="19"/>
  <c r="G286" i="19" s="1"/>
  <c r="I120" i="19"/>
  <c r="H119" i="19"/>
  <c r="H120" i="19" s="1"/>
  <c r="G118" i="19"/>
  <c r="B118" i="19"/>
  <c r="L116" i="19"/>
  <c r="K116" i="19"/>
  <c r="K115" i="19"/>
  <c r="J115" i="19"/>
  <c r="J114" i="19"/>
  <c r="I113" i="19"/>
  <c r="I114" i="19" s="1"/>
  <c r="N112" i="19"/>
  <c r="H112" i="19"/>
  <c r="H113" i="19" s="1"/>
  <c r="G238" i="19" s="1"/>
  <c r="G112" i="19"/>
  <c r="G232" i="19" s="1"/>
  <c r="I232" i="19" s="1"/>
  <c r="J232" i="19" s="1"/>
  <c r="N111" i="19"/>
  <c r="G111" i="19"/>
  <c r="B111" i="19"/>
  <c r="L109" i="19"/>
  <c r="L167" i="19" s="1"/>
  <c r="K108" i="19"/>
  <c r="J107" i="19"/>
  <c r="I107" i="19"/>
  <c r="I106" i="19"/>
  <c r="H105" i="19"/>
  <c r="G104" i="19"/>
  <c r="G105" i="19" s="1"/>
  <c r="B104" i="19"/>
  <c r="H101" i="19"/>
  <c r="I101" i="19" s="1"/>
  <c r="J101" i="19" s="1"/>
  <c r="K101" i="19" s="1"/>
  <c r="L101" i="19" s="1"/>
  <c r="N92" i="19"/>
  <c r="N91" i="19"/>
  <c r="B91" i="19"/>
  <c r="H89" i="19"/>
  <c r="I89" i="19" s="1"/>
  <c r="J89" i="19" s="1"/>
  <c r="K89" i="19" s="1"/>
  <c r="L89" i="19" s="1"/>
  <c r="N82" i="19"/>
  <c r="N81" i="19"/>
  <c r="B81" i="19"/>
  <c r="N75" i="19"/>
  <c r="N74" i="19"/>
  <c r="B74" i="19"/>
  <c r="N68" i="19"/>
  <c r="N67" i="19"/>
  <c r="B67" i="19"/>
  <c r="N61" i="19"/>
  <c r="N60" i="19"/>
  <c r="B60" i="19"/>
  <c r="N54" i="19"/>
  <c r="N53" i="19"/>
  <c r="B53" i="19"/>
  <c r="N47" i="19"/>
  <c r="N46" i="19"/>
  <c r="B46" i="19"/>
  <c r="N40" i="19"/>
  <c r="N39" i="19"/>
  <c r="B39" i="19"/>
  <c r="N33" i="19"/>
  <c r="N32" i="19"/>
  <c r="B32" i="19"/>
  <c r="I29" i="19"/>
  <c r="J29" i="19" s="1"/>
  <c r="K29" i="19" s="1"/>
  <c r="L29" i="19" s="1"/>
  <c r="H29" i="19"/>
  <c r="L24" i="19"/>
  <c r="K24" i="19"/>
  <c r="J24" i="19"/>
  <c r="I24" i="19"/>
  <c r="H24" i="19"/>
  <c r="G24" i="19"/>
  <c r="N24" i="19" s="1"/>
  <c r="N22" i="19"/>
  <c r="N21" i="19"/>
  <c r="N20" i="19"/>
  <c r="N19" i="19"/>
  <c r="N18" i="19"/>
  <c r="N17" i="19"/>
  <c r="N16" i="19"/>
  <c r="N15" i="19"/>
  <c r="H13" i="19"/>
  <c r="B154" i="19" s="1"/>
  <c r="B7" i="19"/>
  <c r="B4" i="19"/>
  <c r="E2" i="19"/>
  <c r="D2" i="19"/>
  <c r="B2" i="19"/>
  <c r="N1" i="19"/>
  <c r="L1" i="19"/>
  <c r="H55" i="7"/>
  <c r="G55" i="7"/>
  <c r="G54" i="7"/>
  <c r="F53" i="7"/>
  <c r="F54" i="7" s="1"/>
  <c r="F55" i="7" s="1"/>
  <c r="E52" i="7"/>
  <c r="E53" i="7" s="1"/>
  <c r="E54" i="7" s="1"/>
  <c r="E55" i="7" s="1"/>
  <c r="D51" i="7"/>
  <c r="C51" i="7"/>
  <c r="J51" i="7" s="1"/>
  <c r="J50" i="7"/>
  <c r="C50" i="7"/>
  <c r="E49" i="7"/>
  <c r="H40" i="7"/>
  <c r="G40" i="7"/>
  <c r="F40" i="7"/>
  <c r="E40" i="7"/>
  <c r="D40" i="7"/>
  <c r="C40" i="7"/>
  <c r="J39" i="7"/>
  <c r="J40" i="7" s="1"/>
  <c r="J38" i="7"/>
  <c r="B38" i="7"/>
  <c r="B54" i="7" s="1"/>
  <c r="J37" i="7"/>
  <c r="L36" i="7"/>
  <c r="J36" i="7"/>
  <c r="B36" i="7"/>
  <c r="B52" i="7" s="1"/>
  <c r="J35" i="7"/>
  <c r="L34" i="7"/>
  <c r="J34" i="7"/>
  <c r="B34" i="7"/>
  <c r="B50" i="7" s="1"/>
  <c r="E33" i="7"/>
  <c r="K28" i="7"/>
  <c r="E28" i="7"/>
  <c r="H27" i="7"/>
  <c r="H28" i="7" s="1"/>
  <c r="D27" i="7"/>
  <c r="D28" i="7" s="1"/>
  <c r="J26" i="7"/>
  <c r="G26" i="7"/>
  <c r="G27" i="7" s="1"/>
  <c r="G28" i="7" s="1"/>
  <c r="B26" i="7"/>
  <c r="B39" i="7" s="1"/>
  <c r="B55" i="7" s="1"/>
  <c r="F25" i="7"/>
  <c r="J25" i="7" s="1"/>
  <c r="L38" i="7" s="1"/>
  <c r="B25" i="7"/>
  <c r="J24" i="7"/>
  <c r="L37" i="7" s="1"/>
  <c r="E24" i="7"/>
  <c r="E27" i="7" s="1"/>
  <c r="I25" i="19" s="1"/>
  <c r="B24" i="7"/>
  <c r="B37" i="7" s="1"/>
  <c r="B53" i="7" s="1"/>
  <c r="D23" i="7"/>
  <c r="J23" i="7" s="1"/>
  <c r="B23" i="7"/>
  <c r="J22" i="7"/>
  <c r="L35" i="7" s="1"/>
  <c r="C22" i="7"/>
  <c r="C27" i="7" s="1"/>
  <c r="C28" i="7" s="1"/>
  <c r="B22" i="7"/>
  <c r="B35" i="7" s="1"/>
  <c r="B51" i="7" s="1"/>
  <c r="J21" i="7"/>
  <c r="B21" i="7"/>
  <c r="H20" i="7"/>
  <c r="H33" i="7" s="1"/>
  <c r="H49" i="7" s="1"/>
  <c r="G20" i="7"/>
  <c r="G33" i="7" s="1"/>
  <c r="G49" i="7" s="1"/>
  <c r="F20" i="7"/>
  <c r="F33" i="7" s="1"/>
  <c r="F49" i="7" s="1"/>
  <c r="E20" i="7"/>
  <c r="D20" i="7"/>
  <c r="D33" i="7" s="1"/>
  <c r="D49" i="7" s="1"/>
  <c r="C20" i="7"/>
  <c r="C33" i="7" s="1"/>
  <c r="C49" i="7" s="1"/>
  <c r="C7" i="7"/>
  <c r="C6" i="7"/>
  <c r="O4" i="7"/>
  <c r="N4" i="7"/>
  <c r="M4" i="7"/>
  <c r="B153" i="6"/>
  <c r="B152" i="6"/>
  <c r="B150" i="6"/>
  <c r="B149" i="6"/>
  <c r="B148" i="6"/>
  <c r="B147" i="6"/>
  <c r="B146" i="6"/>
  <c r="B145" i="6"/>
  <c r="B144" i="6"/>
  <c r="B143" i="6"/>
  <c r="B142" i="6"/>
  <c r="E141" i="6"/>
  <c r="E165" i="6" s="1"/>
  <c r="C136" i="6"/>
  <c r="B136" i="6"/>
  <c r="D134" i="6"/>
  <c r="D133" i="6"/>
  <c r="C133" i="6"/>
  <c r="D132" i="6"/>
  <c r="C132" i="6"/>
  <c r="E131" i="6"/>
  <c r="D131" i="6"/>
  <c r="E130" i="6"/>
  <c r="B130" i="6"/>
  <c r="D128" i="6"/>
  <c r="D127" i="6"/>
  <c r="C127" i="6"/>
  <c r="D126" i="6"/>
  <c r="C126" i="6"/>
  <c r="E125" i="6"/>
  <c r="E124" i="6" s="1"/>
  <c r="B124" i="6"/>
  <c r="D122" i="6"/>
  <c r="D121" i="6"/>
  <c r="C121" i="6"/>
  <c r="D120" i="6"/>
  <c r="C120" i="6"/>
  <c r="E119" i="6"/>
  <c r="E118" i="6"/>
  <c r="B118" i="6"/>
  <c r="D116" i="6"/>
  <c r="D115" i="6"/>
  <c r="C115" i="6"/>
  <c r="B115" i="6"/>
  <c r="E114" i="6"/>
  <c r="D114" i="6"/>
  <c r="B114" i="6"/>
  <c r="D113" i="6"/>
  <c r="D112" i="6"/>
  <c r="C112" i="6"/>
  <c r="E111" i="6"/>
  <c r="B111" i="6"/>
  <c r="D109" i="6"/>
  <c r="D108" i="6"/>
  <c r="C108" i="6"/>
  <c r="D107" i="6"/>
  <c r="C107" i="6"/>
  <c r="E106" i="6"/>
  <c r="D106" i="6"/>
  <c r="E105" i="6"/>
  <c r="B105" i="6"/>
  <c r="E103" i="6"/>
  <c r="C103" i="6"/>
  <c r="B103" i="6"/>
  <c r="D101" i="6"/>
  <c r="D100" i="6"/>
  <c r="C100" i="6"/>
  <c r="D99" i="6"/>
  <c r="C99" i="6"/>
  <c r="E98" i="6"/>
  <c r="E97" i="6"/>
  <c r="B97" i="6"/>
  <c r="D95" i="6"/>
  <c r="C95" i="6"/>
  <c r="B95" i="6"/>
  <c r="D94" i="6"/>
  <c r="C94" i="6"/>
  <c r="B94" i="6"/>
  <c r="D93" i="6"/>
  <c r="C93" i="6"/>
  <c r="B93" i="6"/>
  <c r="D91" i="6"/>
  <c r="C91" i="6"/>
  <c r="B91" i="6"/>
  <c r="D89" i="6"/>
  <c r="C89" i="6"/>
  <c r="B89" i="6"/>
  <c r="D87" i="6"/>
  <c r="C87" i="6"/>
  <c r="B87" i="6"/>
  <c r="D85" i="6"/>
  <c r="C85" i="6"/>
  <c r="B85" i="6"/>
  <c r="D83" i="6"/>
  <c r="C83" i="6"/>
  <c r="B83" i="6"/>
  <c r="D81" i="6"/>
  <c r="C81" i="6"/>
  <c r="B81" i="6"/>
  <c r="D80" i="6"/>
  <c r="C80" i="6"/>
  <c r="B80" i="6"/>
  <c r="B79" i="6"/>
  <c r="D77" i="6"/>
  <c r="C77" i="6"/>
  <c r="B77" i="6"/>
  <c r="D76" i="6"/>
  <c r="C76" i="6"/>
  <c r="B76" i="6"/>
  <c r="B75" i="6"/>
  <c r="D73" i="6"/>
  <c r="C73" i="6"/>
  <c r="B73" i="6"/>
  <c r="D72" i="6"/>
  <c r="C72" i="6"/>
  <c r="B72" i="6"/>
  <c r="D71" i="6"/>
  <c r="C71" i="6"/>
  <c r="B71" i="6"/>
  <c r="E70" i="6"/>
  <c r="B70" i="6"/>
  <c r="D69" i="6"/>
  <c r="C69" i="6"/>
  <c r="B69" i="6"/>
  <c r="D68" i="6"/>
  <c r="C68" i="6"/>
  <c r="B68" i="6"/>
  <c r="D67" i="6"/>
  <c r="C67" i="6"/>
  <c r="B67" i="6"/>
  <c r="E66" i="6"/>
  <c r="D66" i="6"/>
  <c r="B66" i="6"/>
  <c r="D64" i="6"/>
  <c r="E64" i="6" s="1"/>
  <c r="B64" i="6"/>
  <c r="B63" i="6"/>
  <c r="D62" i="6"/>
  <c r="E62" i="6" s="1"/>
  <c r="B62" i="6"/>
  <c r="B61" i="6"/>
  <c r="D60" i="6"/>
  <c r="E60" i="6" s="1"/>
  <c r="B60" i="6"/>
  <c r="B59" i="6"/>
  <c r="D58" i="6"/>
  <c r="E58" i="6" s="1"/>
  <c r="B58" i="6"/>
  <c r="B57" i="6"/>
  <c r="D56" i="6"/>
  <c r="E56" i="6" s="1"/>
  <c r="B56" i="6"/>
  <c r="E55" i="6"/>
  <c r="B55" i="6"/>
  <c r="C54" i="6"/>
  <c r="B54" i="6"/>
  <c r="B52" i="6"/>
  <c r="C51" i="6"/>
  <c r="B51" i="6"/>
  <c r="B49" i="6"/>
  <c r="B48" i="6"/>
  <c r="B47" i="6"/>
  <c r="B46" i="6"/>
  <c r="B45" i="6"/>
  <c r="B44" i="6"/>
  <c r="B43" i="6"/>
  <c r="B42" i="6"/>
  <c r="C41" i="6"/>
  <c r="B41" i="6"/>
  <c r="B39" i="6"/>
  <c r="B38" i="6"/>
  <c r="B37" i="6"/>
  <c r="B36" i="6"/>
  <c r="B35" i="6"/>
  <c r="B34" i="6"/>
  <c r="B33" i="6"/>
  <c r="C32" i="6"/>
  <c r="B32" i="6"/>
  <c r="A32" i="6"/>
  <c r="A41" i="6" s="1"/>
  <c r="A51" i="6" s="1"/>
  <c r="A54" i="6" s="1"/>
  <c r="A66" i="6" s="1"/>
  <c r="A75" i="6" s="1"/>
  <c r="A79" i="6" s="1"/>
  <c r="A83" i="6" s="1"/>
  <c r="A85" i="6" s="1"/>
  <c r="A87" i="6" s="1"/>
  <c r="A89" i="6" s="1"/>
  <c r="A91" i="6" s="1"/>
  <c r="A93" i="6" s="1"/>
  <c r="A94" i="6" s="1"/>
  <c r="A95" i="6" s="1"/>
  <c r="A97" i="6" s="1"/>
  <c r="A103" i="6" s="1"/>
  <c r="A105" i="6" s="1"/>
  <c r="A111" i="6" s="1"/>
  <c r="A118" i="6" s="1"/>
  <c r="A124" i="6" s="1"/>
  <c r="A130" i="6" s="1"/>
  <c r="A136" i="6" s="1"/>
  <c r="C30" i="6"/>
  <c r="B30" i="6"/>
  <c r="A30" i="6"/>
  <c r="B28" i="6"/>
  <c r="B27" i="6"/>
  <c r="B26" i="6"/>
  <c r="B25" i="6"/>
  <c r="B24" i="6"/>
  <c r="B23" i="6"/>
  <c r="B22" i="6"/>
  <c r="B21" i="6"/>
  <c r="C20" i="6"/>
  <c r="B20" i="6"/>
  <c r="E14" i="6"/>
  <c r="D14" i="6"/>
  <c r="D141" i="6" s="1"/>
  <c r="E13" i="6"/>
  <c r="E140" i="6" s="1"/>
  <c r="D13" i="6"/>
  <c r="D140" i="6" s="1"/>
  <c r="N2" i="6"/>
  <c r="M2" i="6"/>
  <c r="J2" i="6"/>
  <c r="D140" i="5"/>
  <c r="D136" i="5"/>
  <c r="D136" i="6" s="1"/>
  <c r="D131" i="5"/>
  <c r="D130" i="5"/>
  <c r="D130" i="6" s="1"/>
  <c r="D125" i="5"/>
  <c r="D125" i="6" s="1"/>
  <c r="D124" i="5"/>
  <c r="D124" i="6" s="1"/>
  <c r="D119" i="5"/>
  <c r="D119" i="6" s="1"/>
  <c r="B115" i="5"/>
  <c r="D114" i="5"/>
  <c r="B113" i="5"/>
  <c r="B113" i="6" s="1"/>
  <c r="D111" i="5"/>
  <c r="D111" i="6" s="1"/>
  <c r="D106" i="5"/>
  <c r="D105" i="5"/>
  <c r="D105" i="6" s="1"/>
  <c r="D98" i="5"/>
  <c r="D70" i="5"/>
  <c r="D70" i="6" s="1"/>
  <c r="D66" i="5"/>
  <c r="D64" i="5"/>
  <c r="D63" i="5"/>
  <c r="D63" i="6" s="1"/>
  <c r="E63" i="6" s="1"/>
  <c r="D62" i="5"/>
  <c r="D61" i="5"/>
  <c r="D61" i="6" s="1"/>
  <c r="E61" i="6" s="1"/>
  <c r="D60" i="5"/>
  <c r="D59" i="5"/>
  <c r="D59" i="6" s="1"/>
  <c r="E59" i="6" s="1"/>
  <c r="D58" i="5"/>
  <c r="D57" i="5"/>
  <c r="D57" i="6" s="1"/>
  <c r="E57" i="6" s="1"/>
  <c r="D56" i="5"/>
  <c r="D55" i="5"/>
  <c r="D55" i="6" s="1"/>
  <c r="A30" i="5"/>
  <c r="A32" i="5" s="1"/>
  <c r="A41" i="5" s="1"/>
  <c r="A51" i="5" s="1"/>
  <c r="A54" i="5" s="1"/>
  <c r="A66" i="5" s="1"/>
  <c r="A75" i="5" s="1"/>
  <c r="A79" i="5" s="1"/>
  <c r="A83" i="5" s="1"/>
  <c r="A85" i="5" s="1"/>
  <c r="A87" i="5" s="1"/>
  <c r="A89" i="5" s="1"/>
  <c r="A91" i="5" s="1"/>
  <c r="A93" i="5" s="1"/>
  <c r="A94" i="5" s="1"/>
  <c r="A95" i="5" s="1"/>
  <c r="A97" i="5" s="1"/>
  <c r="A103" i="5" s="1"/>
  <c r="A105" i="5" s="1"/>
  <c r="A111" i="5" s="1"/>
  <c r="A118" i="5" s="1"/>
  <c r="A124" i="5" s="1"/>
  <c r="A130" i="5" s="1"/>
  <c r="A136" i="5" s="1"/>
  <c r="D14" i="5"/>
  <c r="D141" i="5" s="1"/>
  <c r="D13" i="5"/>
  <c r="R1" i="5"/>
  <c r="D103" i="5" s="1"/>
  <c r="D103" i="6" s="1"/>
  <c r="Q1" i="5"/>
  <c r="B116" i="5" s="1"/>
  <c r="B116" i="6" s="1"/>
  <c r="N1" i="5"/>
  <c r="A12" i="4"/>
  <c r="A9" i="4"/>
  <c r="E6" i="4"/>
  <c r="D6" i="4"/>
  <c r="C17" i="4" s="1"/>
  <c r="D4" i="4"/>
  <c r="D3" i="4"/>
  <c r="C12" i="11" s="1"/>
  <c r="F78" i="2"/>
  <c r="P77" i="2"/>
  <c r="N77" i="2"/>
  <c r="N78" i="2" s="1"/>
  <c r="L77" i="2"/>
  <c r="J77" i="2"/>
  <c r="H77" i="2"/>
  <c r="F77" i="2"/>
  <c r="N76" i="2"/>
  <c r="J76" i="2"/>
  <c r="J78" i="2" s="1"/>
  <c r="F76" i="2"/>
  <c r="P73" i="2"/>
  <c r="N73" i="2"/>
  <c r="L73" i="2"/>
  <c r="J73" i="2"/>
  <c r="H73" i="2"/>
  <c r="F73" i="2"/>
  <c r="Q70" i="2"/>
  <c r="Q68" i="2"/>
  <c r="Q66" i="2"/>
  <c r="Q63" i="2"/>
  <c r="Q61" i="2"/>
  <c r="Q59" i="2"/>
  <c r="Q57" i="2"/>
  <c r="Q56" i="2"/>
  <c r="Q54" i="2"/>
  <c r="Q51" i="2"/>
  <c r="Q48" i="2"/>
  <c r="Q47" i="2"/>
  <c r="Q44" i="2" s="1"/>
  <c r="Q46" i="2"/>
  <c r="P44" i="2"/>
  <c r="O44" i="2"/>
  <c r="N44" i="2"/>
  <c r="M44" i="2"/>
  <c r="M77" i="2" s="1"/>
  <c r="L44" i="2"/>
  <c r="K44" i="2"/>
  <c r="J44" i="2"/>
  <c r="I44" i="2"/>
  <c r="I77" i="2" s="1"/>
  <c r="H44" i="2"/>
  <c r="G44" i="2"/>
  <c r="F44" i="2"/>
  <c r="O34" i="2"/>
  <c r="M34" i="2"/>
  <c r="K34" i="2"/>
  <c r="I34" i="2"/>
  <c r="G34" i="2"/>
  <c r="Q31" i="2"/>
  <c r="Q29" i="2"/>
  <c r="Q26" i="2"/>
  <c r="Q23" i="2"/>
  <c r="Q21" i="2"/>
  <c r="Q19" i="2"/>
  <c r="Q18" i="2"/>
  <c r="Q17" i="2"/>
  <c r="Q14" i="2"/>
  <c r="P12" i="2"/>
  <c r="O12" i="2"/>
  <c r="O76" i="2" s="1"/>
  <c r="N12" i="2"/>
  <c r="N34" i="2" s="1"/>
  <c r="M12" i="2"/>
  <c r="M76" i="2" s="1"/>
  <c r="L12" i="2"/>
  <c r="K12" i="2"/>
  <c r="K76" i="2" s="1"/>
  <c r="J12" i="2"/>
  <c r="J34" i="2" s="1"/>
  <c r="I12" i="2"/>
  <c r="I76" i="2" s="1"/>
  <c r="H12" i="2"/>
  <c r="G12" i="2"/>
  <c r="G76" i="2" s="1"/>
  <c r="F12" i="2"/>
  <c r="F34" i="2" s="1"/>
  <c r="P2" i="2"/>
  <c r="O2" i="2"/>
  <c r="A1" i="2"/>
  <c r="A103" i="1"/>
  <c r="A100" i="1"/>
  <c r="A94" i="1"/>
  <c r="A91" i="1"/>
  <c r="A88" i="1"/>
  <c r="A85" i="1"/>
  <c r="A82" i="1"/>
  <c r="A79" i="1"/>
  <c r="A76" i="1"/>
  <c r="A73" i="1"/>
  <c r="A70" i="1"/>
  <c r="A67" i="1"/>
  <c r="A64" i="1"/>
  <c r="A61" i="1"/>
  <c r="A58" i="1"/>
  <c r="A55" i="1"/>
  <c r="A52" i="1"/>
  <c r="G278" i="19" l="1"/>
  <c r="G78" i="2"/>
  <c r="Q77" i="2"/>
  <c r="Q73" i="2"/>
  <c r="D97" i="5"/>
  <c r="D97" i="6" s="1"/>
  <c r="D98" i="6"/>
  <c r="E161" i="6"/>
  <c r="D52" i="7"/>
  <c r="D53" i="7" s="1"/>
  <c r="D54" i="7" s="1"/>
  <c r="D55" i="7" s="1"/>
  <c r="K25" i="19"/>
  <c r="G192" i="19"/>
  <c r="I192" i="19" s="1"/>
  <c r="J192" i="19" s="1"/>
  <c r="N105" i="19"/>
  <c r="I164" i="19"/>
  <c r="H237" i="19"/>
  <c r="G119" i="19"/>
  <c r="N118" i="19"/>
  <c r="G326" i="19"/>
  <c r="B133" i="19"/>
  <c r="G455" i="19"/>
  <c r="J150" i="19"/>
  <c r="G349" i="21"/>
  <c r="G173" i="19"/>
  <c r="J97" i="19"/>
  <c r="G398" i="19"/>
  <c r="H76" i="2"/>
  <c r="H78" i="2" s="1"/>
  <c r="H34" i="2"/>
  <c r="P76" i="2"/>
  <c r="P78" i="2" s="1"/>
  <c r="P34" i="2"/>
  <c r="K77" i="2"/>
  <c r="K78" i="2" s="1"/>
  <c r="K73" i="2"/>
  <c r="J27" i="7"/>
  <c r="J28" i="7" s="1"/>
  <c r="C52" i="7"/>
  <c r="B40" i="19"/>
  <c r="B54" i="19"/>
  <c r="B68" i="19"/>
  <c r="B82" i="19"/>
  <c r="B105" i="19"/>
  <c r="K166" i="19"/>
  <c r="K168" i="19" s="1"/>
  <c r="K109" i="19"/>
  <c r="K167" i="19" s="1"/>
  <c r="G312" i="19"/>
  <c r="I312" i="19" s="1"/>
  <c r="J312" i="19" s="1"/>
  <c r="N126" i="19"/>
  <c r="G358" i="19"/>
  <c r="G366" i="19"/>
  <c r="N146" i="19"/>
  <c r="G147" i="19"/>
  <c r="B163" i="19"/>
  <c r="B126" i="19"/>
  <c r="B92" i="19"/>
  <c r="B119" i="19"/>
  <c r="B75" i="19"/>
  <c r="B61" i="19"/>
  <c r="B47" i="19"/>
  <c r="B33" i="19"/>
  <c r="B147" i="19"/>
  <c r="B140" i="19"/>
  <c r="B112" i="19"/>
  <c r="I13" i="19"/>
  <c r="G25" i="19"/>
  <c r="K232" i="19"/>
  <c r="G237" i="19" s="1"/>
  <c r="C261" i="19"/>
  <c r="G41" i="19"/>
  <c r="N41" i="19" s="1"/>
  <c r="H477" i="19"/>
  <c r="L168" i="19"/>
  <c r="G261" i="21"/>
  <c r="G421" i="21"/>
  <c r="L76" i="2"/>
  <c r="L78" i="2" s="1"/>
  <c r="L34" i="2"/>
  <c r="G77" i="2"/>
  <c r="G73" i="2"/>
  <c r="O77" i="2"/>
  <c r="O78" i="2" s="1"/>
  <c r="O73" i="2"/>
  <c r="I78" i="2"/>
  <c r="M78" i="2"/>
  <c r="Q12" i="2"/>
  <c r="E164" i="6"/>
  <c r="E160" i="6"/>
  <c r="E167" i="6"/>
  <c r="E163" i="6"/>
  <c r="E166" i="6"/>
  <c r="E162" i="6"/>
  <c r="L39" i="7"/>
  <c r="L40" i="7" s="1"/>
  <c r="H25" i="19"/>
  <c r="L25" i="19"/>
  <c r="G206" i="19"/>
  <c r="I165" i="19"/>
  <c r="G246" i="19"/>
  <c r="G255" i="19"/>
  <c r="G318" i="19"/>
  <c r="G335" i="19"/>
  <c r="G375" i="19"/>
  <c r="K392" i="19"/>
  <c r="G397" i="19" s="1"/>
  <c r="C421" i="19"/>
  <c r="G69" i="19"/>
  <c r="N69" i="19" s="1"/>
  <c r="G415" i="19"/>
  <c r="G229" i="21"/>
  <c r="G389" i="21"/>
  <c r="G221" i="23"/>
  <c r="K472" i="19"/>
  <c r="G477" i="19" s="1"/>
  <c r="C501" i="19"/>
  <c r="K100" i="21"/>
  <c r="K151" i="21" s="1"/>
  <c r="G309" i="21"/>
  <c r="N123" i="21"/>
  <c r="G124" i="21"/>
  <c r="C85" i="8"/>
  <c r="J84" i="8"/>
  <c r="N19" i="21"/>
  <c r="G95" i="21"/>
  <c r="H15" i="23"/>
  <c r="D47" i="22"/>
  <c r="G281" i="23"/>
  <c r="G341" i="23"/>
  <c r="B76" i="22"/>
  <c r="B87" i="22" s="1"/>
  <c r="B101" i="22" s="1"/>
  <c r="D74" i="22"/>
  <c r="D85" i="22" s="1"/>
  <c r="D99" i="22" s="1"/>
  <c r="D12" i="5"/>
  <c r="D118" i="5"/>
  <c r="D118" i="6" s="1"/>
  <c r="D12" i="6"/>
  <c r="J165" i="19"/>
  <c r="G133" i="19"/>
  <c r="G486" i="19"/>
  <c r="L35" i="20"/>
  <c r="G28" i="20"/>
  <c r="H147" i="21"/>
  <c r="H97" i="21"/>
  <c r="G318" i="21"/>
  <c r="G341" i="21"/>
  <c r="J434" i="21"/>
  <c r="J419" i="21"/>
  <c r="K386" i="21"/>
  <c r="J354" i="21"/>
  <c r="J339" i="21"/>
  <c r="K306" i="21"/>
  <c r="J274" i="21"/>
  <c r="J259" i="21"/>
  <c r="J414" i="21"/>
  <c r="K394" i="21"/>
  <c r="J386" i="21"/>
  <c r="K379" i="21"/>
  <c r="J334" i="21"/>
  <c r="K314" i="21"/>
  <c r="J306" i="21"/>
  <c r="K299" i="21"/>
  <c r="K426" i="21"/>
  <c r="J394" i="21"/>
  <c r="J379" i="21"/>
  <c r="K346" i="21"/>
  <c r="J314" i="21"/>
  <c r="J299" i="21"/>
  <c r="K266" i="21"/>
  <c r="J214" i="21"/>
  <c r="K194" i="21"/>
  <c r="J186" i="21"/>
  <c r="K179" i="21"/>
  <c r="K419" i="21"/>
  <c r="K339" i="21"/>
  <c r="K226" i="21"/>
  <c r="J194" i="21"/>
  <c r="J179" i="21"/>
  <c r="K434" i="21"/>
  <c r="J426" i="21"/>
  <c r="J374" i="21"/>
  <c r="K354" i="21"/>
  <c r="J346" i="21"/>
  <c r="J294" i="21"/>
  <c r="K274" i="21"/>
  <c r="K259" i="21"/>
  <c r="J254" i="21"/>
  <c r="K234" i="21"/>
  <c r="J226" i="21"/>
  <c r="K219" i="21"/>
  <c r="J174" i="21"/>
  <c r="K186" i="21"/>
  <c r="J234" i="21"/>
  <c r="J266" i="21"/>
  <c r="G301" i="21"/>
  <c r="G398" i="21"/>
  <c r="L23" i="21"/>
  <c r="L24" i="21" s="1"/>
  <c r="I98" i="21"/>
  <c r="J219" i="21"/>
  <c r="F27" i="7"/>
  <c r="F28" i="7" s="1"/>
  <c r="G162" i="19"/>
  <c r="H163" i="19"/>
  <c r="H106" i="19"/>
  <c r="G113" i="19"/>
  <c r="G141" i="19"/>
  <c r="G438" i="19"/>
  <c r="E27" i="20"/>
  <c r="J24" i="20"/>
  <c r="J62" i="20"/>
  <c r="C36" i="20"/>
  <c r="B91" i="20"/>
  <c r="G102" i="21"/>
  <c r="N16" i="21"/>
  <c r="G116" i="21"/>
  <c r="N18" i="21"/>
  <c r="G130" i="21"/>
  <c r="N20" i="21"/>
  <c r="I139" i="21"/>
  <c r="I140" i="21" s="1"/>
  <c r="I23" i="21"/>
  <c r="I24" i="21" s="1"/>
  <c r="B55" i="8"/>
  <c r="G50" i="8"/>
  <c r="B51" i="8"/>
  <c r="F57" i="8"/>
  <c r="F58" i="8" s="1"/>
  <c r="G238" i="21"/>
  <c r="G137" i="21"/>
  <c r="G23" i="21"/>
  <c r="N21" i="21"/>
  <c r="B17" i="4"/>
  <c r="I73" i="2"/>
  <c r="M73" i="2"/>
  <c r="B112" i="5"/>
  <c r="B112" i="6" s="1"/>
  <c r="G83" i="19"/>
  <c r="N83" i="19" s="1"/>
  <c r="N104" i="19"/>
  <c r="J108" i="19"/>
  <c r="N154" i="19"/>
  <c r="L34" i="20"/>
  <c r="J27" i="20"/>
  <c r="G221" i="21"/>
  <c r="G278" i="21"/>
  <c r="G358" i="21"/>
  <c r="G381" i="21"/>
  <c r="J140" i="21"/>
  <c r="J141" i="21" s="1"/>
  <c r="J57" i="8"/>
  <c r="J58" i="8" s="1"/>
  <c r="F84" i="8"/>
  <c r="F85" i="8" s="1"/>
  <c r="G109" i="21"/>
  <c r="N17" i="21"/>
  <c r="K141" i="21"/>
  <c r="K142" i="21" s="1"/>
  <c r="K23" i="21"/>
  <c r="K24" i="21" s="1"/>
  <c r="D27" i="20"/>
  <c r="F85" i="20"/>
  <c r="D82" i="8"/>
  <c r="D83" i="8" s="1"/>
  <c r="D84" i="8" s="1"/>
  <c r="D85" i="8" s="1"/>
  <c r="L152" i="21"/>
  <c r="G157" i="21"/>
  <c r="B117" i="21"/>
  <c r="B138" i="21"/>
  <c r="B110" i="21"/>
  <c r="B131" i="21"/>
  <c r="B103" i="21"/>
  <c r="J15" i="21"/>
  <c r="J98" i="21" s="1"/>
  <c r="B96" i="21"/>
  <c r="B124" i="21"/>
  <c r="C50" i="20"/>
  <c r="B52" i="8"/>
  <c r="J54" i="8"/>
  <c r="L67" i="8" s="1"/>
  <c r="L70" i="8" s="1"/>
  <c r="B56" i="8"/>
  <c r="D57" i="8"/>
  <c r="D58" i="8" s="1"/>
  <c r="I13" i="21"/>
  <c r="B39" i="21"/>
  <c r="B53" i="21"/>
  <c r="B67" i="21"/>
  <c r="B147" i="21"/>
  <c r="B83" i="21"/>
  <c r="J88" i="21"/>
  <c r="J86" i="22"/>
  <c r="G90" i="23"/>
  <c r="G245" i="23"/>
  <c r="I245" i="23" s="1"/>
  <c r="J245" i="23" s="1"/>
  <c r="L100" i="23"/>
  <c r="G110" i="23"/>
  <c r="L250" i="9"/>
  <c r="M131" i="9"/>
  <c r="M250" i="9" s="1"/>
  <c r="H47" i="13"/>
  <c r="I34" i="15"/>
  <c r="G191" i="23"/>
  <c r="G251" i="23"/>
  <c r="G311" i="23"/>
  <c r="G371" i="23"/>
  <c r="J87" i="22"/>
  <c r="H17" i="13"/>
  <c r="J18" i="13"/>
  <c r="J17" i="13" s="1"/>
  <c r="J47" i="13" s="1"/>
  <c r="G379" i="23"/>
  <c r="E103" i="22"/>
  <c r="H78" i="22"/>
  <c r="J89" i="22" s="1"/>
  <c r="G120" i="23"/>
  <c r="L22" i="23"/>
  <c r="E48" i="22"/>
  <c r="E49" i="22"/>
  <c r="I16" i="23" s="1"/>
  <c r="I92" i="23" s="1"/>
  <c r="E50" i="22"/>
  <c r="I17" i="23" s="1"/>
  <c r="I97" i="23" s="1"/>
  <c r="E51" i="22"/>
  <c r="I18" i="23" s="1"/>
  <c r="I102" i="23" s="1"/>
  <c r="E52" i="22"/>
  <c r="I19" i="23" s="1"/>
  <c r="I107" i="23" s="1"/>
  <c r="E53" i="22"/>
  <c r="I20" i="23" s="1"/>
  <c r="I112" i="23" s="1"/>
  <c r="E54" i="22"/>
  <c r="I21" i="23" s="1"/>
  <c r="I117" i="23" s="1"/>
  <c r="B116" i="23"/>
  <c r="B106" i="23"/>
  <c r="B96" i="23"/>
  <c r="B86" i="23"/>
  <c r="B128" i="23"/>
  <c r="B63" i="23"/>
  <c r="B53" i="23"/>
  <c r="B43" i="23"/>
  <c r="B121" i="23"/>
  <c r="B111" i="23"/>
  <c r="B101" i="23"/>
  <c r="B91" i="23"/>
  <c r="B75" i="23"/>
  <c r="I13" i="23"/>
  <c r="B48" i="23"/>
  <c r="B68" i="23"/>
  <c r="F48" i="22"/>
  <c r="F49" i="22"/>
  <c r="J16" i="23" s="1"/>
  <c r="J93" i="23" s="1"/>
  <c r="F50" i="22"/>
  <c r="J17" i="23" s="1"/>
  <c r="J98" i="23" s="1"/>
  <c r="F51" i="22"/>
  <c r="J18" i="23" s="1"/>
  <c r="J103" i="23" s="1"/>
  <c r="F52" i="22"/>
  <c r="J19" i="23" s="1"/>
  <c r="J108" i="23" s="1"/>
  <c r="F53" i="22"/>
  <c r="J20" i="23" s="1"/>
  <c r="J113" i="23" s="1"/>
  <c r="F54" i="22"/>
  <c r="J21" i="23" s="1"/>
  <c r="J118" i="23" s="1"/>
  <c r="G24" i="23"/>
  <c r="G25" i="23" s="1"/>
  <c r="G85" i="23"/>
  <c r="G95" i="23"/>
  <c r="L19" i="23"/>
  <c r="G105" i="23"/>
  <c r="G115" i="23"/>
  <c r="C74" i="22"/>
  <c r="C85" i="22" s="1"/>
  <c r="C99" i="22" s="1"/>
  <c r="C101" i="22"/>
  <c r="H100" i="22"/>
  <c r="I78" i="23"/>
  <c r="G136" i="23"/>
  <c r="O123" i="9"/>
  <c r="L17" i="9"/>
  <c r="B46" i="9"/>
  <c r="B55" i="9"/>
  <c r="B64" i="9"/>
  <c r="F54" i="25"/>
  <c r="H54" i="25" s="1"/>
  <c r="I54" i="25" s="1"/>
  <c r="H20" i="25"/>
  <c r="C23" i="25"/>
  <c r="C44" i="25"/>
  <c r="H43" i="25"/>
  <c r="B221" i="9"/>
  <c r="B217" i="9"/>
  <c r="B210" i="9"/>
  <c r="B206" i="9"/>
  <c r="B201" i="9"/>
  <c r="B196" i="9"/>
  <c r="B192" i="9"/>
  <c r="B187" i="9"/>
  <c r="B183" i="9"/>
  <c r="B178" i="9"/>
  <c r="B174" i="9"/>
  <c r="B169" i="9"/>
  <c r="B164" i="9"/>
  <c r="B222" i="9"/>
  <c r="B218" i="9"/>
  <c r="B211" i="9"/>
  <c r="B207" i="9"/>
  <c r="B202" i="9"/>
  <c r="B198" i="9"/>
  <c r="B193" i="9"/>
  <c r="B188" i="9"/>
  <c r="B184" i="9"/>
  <c r="B179" i="9"/>
  <c r="B175" i="9"/>
  <c r="B170" i="9"/>
  <c r="B166" i="9"/>
  <c r="B219" i="9"/>
  <c r="B212" i="9"/>
  <c r="B208" i="9"/>
  <c r="B203" i="9"/>
  <c r="B199" i="9"/>
  <c r="B194" i="9"/>
  <c r="B190" i="9"/>
  <c r="B185" i="9"/>
  <c r="B180" i="9"/>
  <c r="B176" i="9"/>
  <c r="B220" i="9"/>
  <c r="B177" i="9"/>
  <c r="B171" i="9"/>
  <c r="B163" i="9"/>
  <c r="B160" i="9"/>
  <c r="B155" i="9"/>
  <c r="B151" i="9"/>
  <c r="B146" i="9"/>
  <c r="B142" i="9"/>
  <c r="B137" i="9"/>
  <c r="B126" i="9"/>
  <c r="B122" i="9"/>
  <c r="B116" i="9"/>
  <c r="B114" i="9"/>
  <c r="B112" i="9"/>
  <c r="B110" i="9"/>
  <c r="B107" i="9"/>
  <c r="B105" i="9"/>
  <c r="B103" i="9"/>
  <c r="B100" i="9"/>
  <c r="B98" i="9"/>
  <c r="B96" i="9"/>
  <c r="B94" i="9"/>
  <c r="B91" i="9"/>
  <c r="B89" i="9"/>
  <c r="B87" i="9"/>
  <c r="B84" i="9"/>
  <c r="B82" i="9"/>
  <c r="B80" i="9"/>
  <c r="B78" i="9"/>
  <c r="B75" i="9"/>
  <c r="B200" i="9"/>
  <c r="B195" i="9"/>
  <c r="B186" i="9"/>
  <c r="B182" i="9"/>
  <c r="B172" i="9"/>
  <c r="B161" i="9"/>
  <c r="B156" i="9"/>
  <c r="B152" i="9"/>
  <c r="B147" i="9"/>
  <c r="B143" i="9"/>
  <c r="B138" i="9"/>
  <c r="B134" i="9"/>
  <c r="B123" i="9"/>
  <c r="B204" i="9"/>
  <c r="B191" i="9"/>
  <c r="B167" i="9"/>
  <c r="B162" i="9"/>
  <c r="B158" i="9"/>
  <c r="B153" i="9"/>
  <c r="B148" i="9"/>
  <c r="B144" i="9"/>
  <c r="B139" i="9"/>
  <c r="B135" i="9"/>
  <c r="B124" i="9"/>
  <c r="B120" i="9"/>
  <c r="B115" i="9"/>
  <c r="B113" i="9"/>
  <c r="B111" i="9"/>
  <c r="B108" i="9"/>
  <c r="B106" i="9"/>
  <c r="B104" i="9"/>
  <c r="B102" i="9"/>
  <c r="B99" i="9"/>
  <c r="B97" i="9"/>
  <c r="B95" i="9"/>
  <c r="B92" i="9"/>
  <c r="B90" i="9"/>
  <c r="B88" i="9"/>
  <c r="B86" i="9"/>
  <c r="B83" i="9"/>
  <c r="B81" i="9"/>
  <c r="B79" i="9"/>
  <c r="B76" i="9"/>
  <c r="B154" i="9"/>
  <c r="B140" i="9"/>
  <c r="B125" i="9"/>
  <c r="B216" i="9"/>
  <c r="B209" i="9"/>
  <c r="B159" i="9"/>
  <c r="B74" i="9"/>
  <c r="B72" i="9"/>
  <c r="B70" i="9"/>
  <c r="B67" i="9"/>
  <c r="B65" i="9"/>
  <c r="B63" i="9"/>
  <c r="B60" i="9"/>
  <c r="B58" i="9"/>
  <c r="B56" i="9"/>
  <c r="B54" i="9"/>
  <c r="B51" i="9"/>
  <c r="B49" i="9"/>
  <c r="B47" i="9"/>
  <c r="B44" i="9"/>
  <c r="B42" i="9"/>
  <c r="B40" i="9"/>
  <c r="B38" i="9"/>
  <c r="B145" i="9"/>
  <c r="B121" i="9"/>
  <c r="M17" i="9"/>
  <c r="B43" i="9"/>
  <c r="B52" i="9"/>
  <c r="B62" i="9"/>
  <c r="B71" i="9"/>
  <c r="B150" i="9"/>
  <c r="B168" i="9"/>
  <c r="B41" i="9"/>
  <c r="B50" i="9"/>
  <c r="B59" i="9"/>
  <c r="B68" i="9"/>
  <c r="B136" i="9"/>
  <c r="D23" i="25"/>
  <c r="O121" i="9"/>
  <c r="O125" i="9"/>
  <c r="I136" i="9"/>
  <c r="M217" i="9"/>
  <c r="M136" i="9"/>
  <c r="I143" i="9"/>
  <c r="O142" i="9"/>
  <c r="O150" i="9"/>
  <c r="O168" i="9"/>
  <c r="I169" i="9"/>
  <c r="I184" i="9"/>
  <c r="O183" i="9"/>
  <c r="D18" i="25"/>
  <c r="D29" i="25" s="1"/>
  <c r="D42" i="25" s="1"/>
  <c r="E23" i="25"/>
  <c r="E24" i="25" s="1"/>
  <c r="E46" i="25"/>
  <c r="J216" i="9"/>
  <c r="J135" i="9"/>
  <c r="O134" i="9"/>
  <c r="I152" i="9"/>
  <c r="O151" i="9"/>
  <c r="I161" i="9"/>
  <c r="O160" i="9"/>
  <c r="O166" i="9"/>
  <c r="E7" i="25"/>
  <c r="O120" i="9"/>
  <c r="O122" i="9"/>
  <c r="O124" i="9"/>
  <c r="O126" i="9"/>
  <c r="K217" i="9"/>
  <c r="K136" i="9"/>
  <c r="K216" i="9"/>
  <c r="L135" i="9"/>
  <c r="I193" i="9"/>
  <c r="O192" i="9"/>
  <c r="H40" i="11"/>
  <c r="E136" i="6" s="1"/>
  <c r="J159" i="9"/>
  <c r="J160" i="9" s="1"/>
  <c r="J161" i="9" s="1"/>
  <c r="J162" i="9" s="1"/>
  <c r="J163" i="9" s="1"/>
  <c r="J164" i="9" s="1"/>
  <c r="I175" i="9"/>
  <c r="O174" i="9"/>
  <c r="O191" i="9"/>
  <c r="O199" i="9"/>
  <c r="I200" i="9"/>
  <c r="I216" i="9"/>
  <c r="M216" i="9"/>
  <c r="O167" i="9"/>
  <c r="O198" i="9"/>
  <c r="I207" i="9"/>
  <c r="O206" i="9"/>
  <c r="O200" i="9" l="1"/>
  <c r="I201" i="9"/>
  <c r="I176" i="9"/>
  <c r="O175" i="9"/>
  <c r="I194" i="9"/>
  <c r="O193" i="9"/>
  <c r="K218" i="9"/>
  <c r="K137" i="9"/>
  <c r="I170" i="9"/>
  <c r="O169" i="9"/>
  <c r="I144" i="9"/>
  <c r="O143" i="9"/>
  <c r="I217" i="9"/>
  <c r="H44" i="25"/>
  <c r="G229" i="23"/>
  <c r="G365" i="23"/>
  <c r="I365" i="23" s="1"/>
  <c r="J365" i="23" s="1"/>
  <c r="L120" i="23"/>
  <c r="G185" i="23"/>
  <c r="I185" i="23" s="1"/>
  <c r="J185" i="23" s="1"/>
  <c r="L90" i="23"/>
  <c r="G110" i="21"/>
  <c r="N109" i="21"/>
  <c r="G438" i="21"/>
  <c r="C221" i="19"/>
  <c r="G34" i="19"/>
  <c r="K192" i="19"/>
  <c r="G197" i="19" s="1"/>
  <c r="L217" i="9"/>
  <c r="L136" i="9"/>
  <c r="I162" i="9"/>
  <c r="O161" i="9"/>
  <c r="J217" i="9"/>
  <c r="J136" i="9"/>
  <c r="M218" i="9"/>
  <c r="M137" i="9"/>
  <c r="O135" i="9"/>
  <c r="L21" i="23"/>
  <c r="L17" i="23"/>
  <c r="F47" i="22"/>
  <c r="J15" i="23"/>
  <c r="G319" i="23"/>
  <c r="G199" i="23"/>
  <c r="L18" i="23"/>
  <c r="H79" i="22"/>
  <c r="H80" i="22" s="1"/>
  <c r="C51" i="20"/>
  <c r="J50" i="20"/>
  <c r="G215" i="19"/>
  <c r="J166" i="19"/>
  <c r="J168" i="19" s="1"/>
  <c r="G429" i="21"/>
  <c r="N116" i="21"/>
  <c r="G117" i="21"/>
  <c r="J36" i="20"/>
  <c r="N141" i="19"/>
  <c r="N113" i="19"/>
  <c r="H148" i="21"/>
  <c r="G181" i="21"/>
  <c r="N95" i="21"/>
  <c r="G146" i="21"/>
  <c r="N146" i="21" s="1"/>
  <c r="G96" i="21"/>
  <c r="J85" i="8"/>
  <c r="H318" i="19"/>
  <c r="I318" i="19" s="1"/>
  <c r="B164" i="19"/>
  <c r="B127" i="19"/>
  <c r="B120" i="19"/>
  <c r="B83" i="19"/>
  <c r="B69" i="19"/>
  <c r="B55" i="19"/>
  <c r="B41" i="19"/>
  <c r="J13" i="19"/>
  <c r="B141" i="19"/>
  <c r="B113" i="19"/>
  <c r="B93" i="19"/>
  <c r="B134" i="19"/>
  <c r="B76" i="19"/>
  <c r="B62" i="19"/>
  <c r="B48" i="19"/>
  <c r="B34" i="19"/>
  <c r="B148" i="19"/>
  <c r="B106" i="19"/>
  <c r="B155" i="19"/>
  <c r="H397" i="19"/>
  <c r="H399" i="19" s="1"/>
  <c r="I398" i="19"/>
  <c r="H398" i="19"/>
  <c r="G272" i="19"/>
  <c r="I272" i="19" s="1"/>
  <c r="J272" i="19" s="1"/>
  <c r="N119" i="19"/>
  <c r="N163" i="19" s="1"/>
  <c r="G163" i="19"/>
  <c r="J54" i="25"/>
  <c r="C32" i="25"/>
  <c r="C45" i="25" s="1"/>
  <c r="B66" i="25"/>
  <c r="G349" i="23"/>
  <c r="B118" i="21"/>
  <c r="B139" i="21"/>
  <c r="B111" i="21"/>
  <c r="B132" i="21"/>
  <c r="B104" i="21"/>
  <c r="B148" i="21"/>
  <c r="J13" i="21"/>
  <c r="B125" i="21"/>
  <c r="B97" i="21"/>
  <c r="B75" i="21"/>
  <c r="B61" i="21"/>
  <c r="B47" i="21"/>
  <c r="B33" i="21"/>
  <c r="B84" i="21"/>
  <c r="B68" i="21"/>
  <c r="B54" i="21"/>
  <c r="B40" i="21"/>
  <c r="G352" i="19"/>
  <c r="I352" i="19" s="1"/>
  <c r="J352" i="19" s="1"/>
  <c r="N133" i="19"/>
  <c r="D139" i="5"/>
  <c r="B133" i="5"/>
  <c r="B133" i="6" s="1"/>
  <c r="B126" i="5"/>
  <c r="B126" i="6" s="1"/>
  <c r="B108" i="5"/>
  <c r="B108" i="6" s="1"/>
  <c r="B101" i="5"/>
  <c r="B101" i="6" s="1"/>
  <c r="B98" i="5"/>
  <c r="B98" i="6" s="1"/>
  <c r="B132" i="5"/>
  <c r="B132" i="6" s="1"/>
  <c r="B122" i="5"/>
  <c r="B122" i="6" s="1"/>
  <c r="B119" i="5"/>
  <c r="B119" i="6" s="1"/>
  <c r="B107" i="5"/>
  <c r="B107" i="6" s="1"/>
  <c r="B100" i="5"/>
  <c r="B100" i="6" s="1"/>
  <c r="B128" i="5"/>
  <c r="B128" i="6" s="1"/>
  <c r="B125" i="5"/>
  <c r="B125" i="6" s="1"/>
  <c r="B121" i="5"/>
  <c r="B121" i="6" s="1"/>
  <c r="B99" i="5"/>
  <c r="B99" i="6" s="1"/>
  <c r="B134" i="5"/>
  <c r="B134" i="6" s="1"/>
  <c r="B131" i="5"/>
  <c r="B131" i="6" s="1"/>
  <c r="B109" i="5"/>
  <c r="B109" i="6" s="1"/>
  <c r="D52" i="5"/>
  <c r="D52" i="6" s="1"/>
  <c r="E52" i="6" s="1"/>
  <c r="B120" i="5"/>
  <c r="B120" i="6" s="1"/>
  <c r="B127" i="5"/>
  <c r="B127" i="6" s="1"/>
  <c r="B106" i="5"/>
  <c r="B106" i="6" s="1"/>
  <c r="H86" i="23"/>
  <c r="H24" i="23"/>
  <c r="H25" i="23" s="1"/>
  <c r="G399" i="19"/>
  <c r="I397" i="19"/>
  <c r="Q76" i="2"/>
  <c r="Q78" i="2" s="1"/>
  <c r="Q34" i="2"/>
  <c r="G432" i="19"/>
  <c r="I432" i="19" s="1"/>
  <c r="J432" i="19" s="1"/>
  <c r="N147" i="19"/>
  <c r="J52" i="7"/>
  <c r="C53" i="7"/>
  <c r="G335" i="23"/>
  <c r="I335" i="23" s="1"/>
  <c r="J335" i="23" s="1"/>
  <c r="L115" i="23"/>
  <c r="G215" i="23"/>
  <c r="I215" i="23" s="1"/>
  <c r="J215" i="23" s="1"/>
  <c r="L95" i="23"/>
  <c r="B117" i="23"/>
  <c r="B107" i="23"/>
  <c r="B97" i="23"/>
  <c r="B87" i="23"/>
  <c r="B69" i="23"/>
  <c r="B59" i="23"/>
  <c r="B49" i="23"/>
  <c r="B39" i="23"/>
  <c r="B129" i="23"/>
  <c r="B122" i="23"/>
  <c r="B112" i="23"/>
  <c r="B102" i="23"/>
  <c r="B92" i="23"/>
  <c r="B64" i="23"/>
  <c r="B54" i="23"/>
  <c r="B44" i="23"/>
  <c r="B34" i="23"/>
  <c r="B76" i="23"/>
  <c r="J13" i="23"/>
  <c r="G289" i="23"/>
  <c r="I15" i="23"/>
  <c r="E47" i="22"/>
  <c r="H251" i="23"/>
  <c r="I251" i="23" s="1"/>
  <c r="L20" i="23"/>
  <c r="C265" i="23"/>
  <c r="K245" i="23"/>
  <c r="G250" i="23" s="1"/>
  <c r="G48" i="23"/>
  <c r="J90" i="22"/>
  <c r="J99" i="21"/>
  <c r="J149" i="21"/>
  <c r="N162" i="19"/>
  <c r="G24" i="21"/>
  <c r="J83" i="8"/>
  <c r="F67" i="20"/>
  <c r="G67" i="20"/>
  <c r="H164" i="19"/>
  <c r="G198" i="19"/>
  <c r="D139" i="6"/>
  <c r="B169" i="6" s="1"/>
  <c r="E12" i="6"/>
  <c r="E139" i="6" s="1"/>
  <c r="H24" i="21"/>
  <c r="G479" i="19"/>
  <c r="I477" i="19"/>
  <c r="H478" i="19"/>
  <c r="I478" i="19" s="1"/>
  <c r="H238" i="19"/>
  <c r="I238" i="19" s="1"/>
  <c r="H479" i="19"/>
  <c r="E18" i="25"/>
  <c r="E29" i="25" s="1"/>
  <c r="E42" i="25" s="1"/>
  <c r="B21" i="25"/>
  <c r="B32" i="25" s="1"/>
  <c r="B45" i="25" s="1"/>
  <c r="F7" i="25"/>
  <c r="I208" i="9"/>
  <c r="O207" i="9"/>
  <c r="O216" i="9"/>
  <c r="O159" i="9"/>
  <c r="I153" i="9"/>
  <c r="O152" i="9"/>
  <c r="I185" i="9"/>
  <c r="O184" i="9"/>
  <c r="I218" i="9"/>
  <c r="O136" i="9"/>
  <c r="I137" i="9"/>
  <c r="J31" i="25"/>
  <c r="H23" i="25"/>
  <c r="C102" i="22"/>
  <c r="H101" i="22"/>
  <c r="L105" i="23"/>
  <c r="G275" i="23"/>
  <c r="I275" i="23" s="1"/>
  <c r="J275" i="23" s="1"/>
  <c r="L85" i="23"/>
  <c r="G155" i="23"/>
  <c r="I155" i="23" s="1"/>
  <c r="J155" i="23" s="1"/>
  <c r="G127" i="23"/>
  <c r="L127" i="23" s="1"/>
  <c r="G259" i="23"/>
  <c r="G305" i="23"/>
  <c r="I305" i="23" s="1"/>
  <c r="J305" i="23" s="1"/>
  <c r="L110" i="23"/>
  <c r="L16" i="23"/>
  <c r="J23" i="21"/>
  <c r="J24" i="21" s="1"/>
  <c r="G68" i="20"/>
  <c r="H68" i="20" s="1"/>
  <c r="G138" i="21"/>
  <c r="N137" i="21"/>
  <c r="J82" i="8"/>
  <c r="G131" i="21"/>
  <c r="N130" i="21"/>
  <c r="G103" i="21"/>
  <c r="N102" i="21"/>
  <c r="G189" i="21"/>
  <c r="I149" i="21"/>
  <c r="G155" i="19"/>
  <c r="N124" i="21"/>
  <c r="G335" i="21"/>
  <c r="I335" i="21" s="1"/>
  <c r="J335" i="21" s="1"/>
  <c r="K150" i="21"/>
  <c r="K152" i="21" s="1"/>
  <c r="I148" i="21"/>
  <c r="N15" i="21"/>
  <c r="E159" i="6"/>
  <c r="E158" i="6" s="1"/>
  <c r="E157" i="6" s="1"/>
  <c r="G239" i="19"/>
  <c r="I237" i="19"/>
  <c r="K312" i="19"/>
  <c r="G317" i="19" s="1"/>
  <c r="C341" i="19"/>
  <c r="G55" i="19"/>
  <c r="N25" i="19"/>
  <c r="J25" i="19"/>
  <c r="H45" i="25" l="1"/>
  <c r="C54" i="7"/>
  <c r="J53" i="7"/>
  <c r="C461" i="19"/>
  <c r="K432" i="19"/>
  <c r="G76" i="19"/>
  <c r="G127" i="19"/>
  <c r="N55" i="19"/>
  <c r="K335" i="21"/>
  <c r="C364" i="21"/>
  <c r="G61" i="21"/>
  <c r="G215" i="21"/>
  <c r="I215" i="21" s="1"/>
  <c r="J215" i="21" s="1"/>
  <c r="N103" i="21"/>
  <c r="C325" i="23"/>
  <c r="K305" i="23"/>
  <c r="G58" i="23"/>
  <c r="G33" i="23"/>
  <c r="C175" i="23"/>
  <c r="K155" i="23"/>
  <c r="G160" i="23" s="1"/>
  <c r="B22" i="25"/>
  <c r="B33" i="25" s="1"/>
  <c r="B46" i="25" s="1"/>
  <c r="F18" i="25"/>
  <c r="F29" i="25" s="1"/>
  <c r="F42" i="25" s="1"/>
  <c r="N23" i="21"/>
  <c r="N24" i="21" s="1"/>
  <c r="G252" i="23"/>
  <c r="F59" i="25"/>
  <c r="G60" i="25"/>
  <c r="H60" i="25" s="1"/>
  <c r="G59" i="25"/>
  <c r="L36" i="20"/>
  <c r="O162" i="9"/>
  <c r="I163" i="9"/>
  <c r="N34" i="19"/>
  <c r="G106" i="19"/>
  <c r="O144" i="9"/>
  <c r="I145" i="9"/>
  <c r="O176" i="9"/>
  <c r="I177" i="9"/>
  <c r="G53" i="23"/>
  <c r="C295" i="23"/>
  <c r="K275" i="23"/>
  <c r="O208" i="9"/>
  <c r="I209" i="9"/>
  <c r="H198" i="19"/>
  <c r="I198" i="19" s="1"/>
  <c r="H197" i="19"/>
  <c r="L48" i="23"/>
  <c r="G101" i="23"/>
  <c r="M219" i="9"/>
  <c r="M138" i="9"/>
  <c r="K219" i="9"/>
  <c r="K138" i="9"/>
  <c r="G415" i="21"/>
  <c r="I415" i="21" s="1"/>
  <c r="J415" i="21" s="1"/>
  <c r="N138" i="21"/>
  <c r="I138" i="9"/>
  <c r="O185" i="9"/>
  <c r="I186" i="9"/>
  <c r="G69" i="20"/>
  <c r="J150" i="21"/>
  <c r="J152" i="21" s="1"/>
  <c r="G198" i="21"/>
  <c r="H250" i="23"/>
  <c r="H252" i="23" s="1"/>
  <c r="B130" i="23"/>
  <c r="B70" i="23"/>
  <c r="B60" i="23"/>
  <c r="B50" i="23"/>
  <c r="B40" i="23"/>
  <c r="B123" i="23"/>
  <c r="B113" i="23"/>
  <c r="B103" i="23"/>
  <c r="B93" i="23"/>
  <c r="B65" i="23"/>
  <c r="B55" i="23"/>
  <c r="B45" i="23"/>
  <c r="B35" i="23"/>
  <c r="B118" i="23"/>
  <c r="B98" i="23"/>
  <c r="B108" i="23"/>
  <c r="B88" i="23"/>
  <c r="B77" i="23"/>
  <c r="C355" i="23"/>
  <c r="G63" i="23"/>
  <c r="K335" i="23"/>
  <c r="K397" i="19"/>
  <c r="I399" i="19"/>
  <c r="J399" i="19" s="1"/>
  <c r="K398" i="19" s="1"/>
  <c r="G161" i="23"/>
  <c r="H128" i="23"/>
  <c r="B140" i="21"/>
  <c r="B112" i="21"/>
  <c r="B133" i="21"/>
  <c r="B105" i="21"/>
  <c r="B149" i="21"/>
  <c r="B126" i="21"/>
  <c r="B98" i="21"/>
  <c r="B69" i="21"/>
  <c r="B55" i="21"/>
  <c r="B41" i="21"/>
  <c r="B119" i="21"/>
  <c r="B76" i="21"/>
  <c r="B62" i="21"/>
  <c r="B48" i="21"/>
  <c r="B34" i="21"/>
  <c r="K13" i="21"/>
  <c r="B85" i="21"/>
  <c r="C301" i="19"/>
  <c r="K272" i="19"/>
  <c r="G48" i="19"/>
  <c r="G93" i="19" s="1"/>
  <c r="H317" i="19"/>
  <c r="H319" i="19" s="1"/>
  <c r="J137" i="9"/>
  <c r="J218" i="9"/>
  <c r="O218" i="9" s="1"/>
  <c r="L218" i="9"/>
  <c r="L137" i="9"/>
  <c r="K365" i="23"/>
  <c r="C385" i="23"/>
  <c r="G68" i="23"/>
  <c r="I202" i="9"/>
  <c r="O201" i="9"/>
  <c r="K237" i="19"/>
  <c r="N237" i="19" s="1"/>
  <c r="I239" i="19"/>
  <c r="J239" i="19" s="1"/>
  <c r="K238" i="19" s="1"/>
  <c r="O153" i="9"/>
  <c r="I154" i="9"/>
  <c r="C381" i="19"/>
  <c r="K352" i="19"/>
  <c r="G62" i="19"/>
  <c r="H32" i="25"/>
  <c r="B165" i="19"/>
  <c r="B121" i="19"/>
  <c r="B77" i="19"/>
  <c r="B63" i="19"/>
  <c r="B49" i="19"/>
  <c r="B35" i="19"/>
  <c r="K13" i="19"/>
  <c r="B114" i="19"/>
  <c r="B149" i="19"/>
  <c r="B142" i="19"/>
  <c r="B135" i="19"/>
  <c r="B107" i="19"/>
  <c r="B84" i="19"/>
  <c r="B70" i="19"/>
  <c r="B56" i="19"/>
  <c r="B42" i="19"/>
  <c r="B156" i="19"/>
  <c r="B128" i="19"/>
  <c r="B94" i="19"/>
  <c r="J51" i="20"/>
  <c r="I197" i="19"/>
  <c r="G199" i="19"/>
  <c r="G255" i="21"/>
  <c r="I255" i="21" s="1"/>
  <c r="J255" i="21" s="1"/>
  <c r="N110" i="21"/>
  <c r="G319" i="19"/>
  <c r="I317" i="19"/>
  <c r="N155" i="19"/>
  <c r="G375" i="21"/>
  <c r="I375" i="21" s="1"/>
  <c r="J375" i="21" s="1"/>
  <c r="N131" i="21"/>
  <c r="C103" i="22"/>
  <c r="H103" i="22" s="1"/>
  <c r="H102" i="22"/>
  <c r="K477" i="19"/>
  <c r="N477" i="19" s="1"/>
  <c r="I479" i="19"/>
  <c r="J479" i="19" s="1"/>
  <c r="K478" i="19" s="1"/>
  <c r="F69" i="20"/>
  <c r="H67" i="20"/>
  <c r="I87" i="23"/>
  <c r="I24" i="23"/>
  <c r="I25" i="23" s="1"/>
  <c r="L15" i="23"/>
  <c r="L24" i="23" s="1"/>
  <c r="L25" i="23" s="1"/>
  <c r="G43" i="23"/>
  <c r="K215" i="23"/>
  <c r="C235" i="23"/>
  <c r="G175" i="21"/>
  <c r="I175" i="21" s="1"/>
  <c r="J175" i="21" s="1"/>
  <c r="N96" i="21"/>
  <c r="G147" i="21"/>
  <c r="N147" i="21" s="1"/>
  <c r="G295" i="21"/>
  <c r="I295" i="21" s="1"/>
  <c r="J295" i="21" s="1"/>
  <c r="N117" i="21"/>
  <c r="J88" i="23"/>
  <c r="J130" i="23" s="1"/>
  <c r="J24" i="23"/>
  <c r="J25" i="23" s="1"/>
  <c r="H239" i="19"/>
  <c r="K185" i="23"/>
  <c r="C205" i="23"/>
  <c r="G38" i="23"/>
  <c r="O217" i="9"/>
  <c r="I171" i="9"/>
  <c r="O170" i="9"/>
  <c r="O194" i="9"/>
  <c r="I195" i="9"/>
  <c r="G484" i="19" l="1"/>
  <c r="L398" i="19"/>
  <c r="H70" i="19" s="1"/>
  <c r="H142" i="19" s="1"/>
  <c r="N398" i="19"/>
  <c r="G405" i="19" s="1"/>
  <c r="L238" i="19"/>
  <c r="H42" i="19" s="1"/>
  <c r="H114" i="19" s="1"/>
  <c r="N238" i="19"/>
  <c r="G245" i="19" s="1"/>
  <c r="L478" i="19"/>
  <c r="H84" i="19" s="1"/>
  <c r="H156" i="19" s="1"/>
  <c r="N478" i="19"/>
  <c r="G485" i="19" s="1"/>
  <c r="G244" i="19"/>
  <c r="N239" i="19"/>
  <c r="O171" i="9"/>
  <c r="I172" i="9"/>
  <c r="O172" i="9" s="1"/>
  <c r="G190" i="23"/>
  <c r="H191" i="23"/>
  <c r="I191" i="23" s="1"/>
  <c r="H190" i="23"/>
  <c r="G220" i="23"/>
  <c r="H221" i="23"/>
  <c r="I221" i="23" s="1"/>
  <c r="H220" i="23"/>
  <c r="H222" i="23" s="1"/>
  <c r="G169" i="23"/>
  <c r="I129" i="23"/>
  <c r="I131" i="23" s="1"/>
  <c r="B157" i="19"/>
  <c r="B150" i="19"/>
  <c r="B166" i="19"/>
  <c r="B136" i="19"/>
  <c r="B108" i="19"/>
  <c r="B78" i="19"/>
  <c r="B64" i="19"/>
  <c r="B50" i="19"/>
  <c r="B36" i="19"/>
  <c r="B143" i="19"/>
  <c r="B129" i="19"/>
  <c r="B122" i="19"/>
  <c r="B85" i="19"/>
  <c r="B71" i="19"/>
  <c r="B57" i="19"/>
  <c r="B43" i="19"/>
  <c r="B115" i="19"/>
  <c r="B95" i="19"/>
  <c r="L13" i="19"/>
  <c r="J32" i="25"/>
  <c r="O154" i="9"/>
  <c r="I155" i="9"/>
  <c r="L219" i="9"/>
  <c r="L138" i="9"/>
  <c r="K399" i="19"/>
  <c r="C422" i="19" s="1"/>
  <c r="L397" i="19"/>
  <c r="G70" i="19" s="1"/>
  <c r="O137" i="9"/>
  <c r="M220" i="9"/>
  <c r="M139" i="9"/>
  <c r="L101" i="23"/>
  <c r="O145" i="9"/>
  <c r="I146" i="9"/>
  <c r="G75" i="23"/>
  <c r="L33" i="23"/>
  <c r="G86" i="23"/>
  <c r="N76" i="19"/>
  <c r="N93" i="19" s="1"/>
  <c r="G148" i="19"/>
  <c r="C55" i="7"/>
  <c r="J55" i="7" s="1"/>
  <c r="J54" i="7"/>
  <c r="O195" i="9"/>
  <c r="I196" i="9"/>
  <c r="O196" i="9" s="1"/>
  <c r="L43" i="23"/>
  <c r="G96" i="23"/>
  <c r="J67" i="20"/>
  <c r="M67" i="20" s="1"/>
  <c r="H69" i="20"/>
  <c r="I69" i="20" s="1"/>
  <c r="I199" i="19"/>
  <c r="J199" i="19" s="1"/>
  <c r="K197" i="19" s="1"/>
  <c r="N62" i="19"/>
  <c r="G134" i="19"/>
  <c r="G277" i="19"/>
  <c r="H277" i="19"/>
  <c r="H278" i="19"/>
  <c r="I278" i="19" s="1"/>
  <c r="N397" i="19"/>
  <c r="I220" i="9"/>
  <c r="I139" i="9"/>
  <c r="O209" i="9"/>
  <c r="I210" i="9"/>
  <c r="L53" i="23"/>
  <c r="G106" i="23"/>
  <c r="O163" i="9"/>
  <c r="I164" i="9"/>
  <c r="O164" i="9" s="1"/>
  <c r="H59" i="25"/>
  <c r="F61" i="25"/>
  <c r="L58" i="23"/>
  <c r="G111" i="23"/>
  <c r="C244" i="21"/>
  <c r="G40" i="21"/>
  <c r="K215" i="21"/>
  <c r="G340" i="21"/>
  <c r="H340" i="21"/>
  <c r="H341" i="21"/>
  <c r="I341" i="21" s="1"/>
  <c r="G437" i="19"/>
  <c r="H438" i="19"/>
  <c r="I438" i="19" s="1"/>
  <c r="H437" i="19"/>
  <c r="K375" i="21"/>
  <c r="C404" i="21"/>
  <c r="G68" i="21"/>
  <c r="K415" i="21"/>
  <c r="C444" i="21"/>
  <c r="G75" i="21"/>
  <c r="K295" i="21"/>
  <c r="C324" i="21"/>
  <c r="G54" i="21"/>
  <c r="G357" i="19"/>
  <c r="H357" i="19"/>
  <c r="H359" i="19" s="1"/>
  <c r="H358" i="19"/>
  <c r="I358" i="19" s="1"/>
  <c r="G370" i="23"/>
  <c r="H370" i="23"/>
  <c r="H371" i="23"/>
  <c r="I371" i="23" s="1"/>
  <c r="H161" i="23"/>
  <c r="I161" i="23" s="1"/>
  <c r="H160" i="23"/>
  <c r="H162" i="23" s="1"/>
  <c r="G340" i="23"/>
  <c r="H341" i="23"/>
  <c r="I341" i="23" s="1"/>
  <c r="H340" i="23"/>
  <c r="H342" i="23" s="1"/>
  <c r="O186" i="9"/>
  <c r="I187" i="9"/>
  <c r="I219" i="9"/>
  <c r="K220" i="9"/>
  <c r="K139" i="9"/>
  <c r="O177" i="9"/>
  <c r="I178" i="9"/>
  <c r="N106" i="19"/>
  <c r="I160" i="23"/>
  <c r="G162" i="23"/>
  <c r="G310" i="23"/>
  <c r="H310" i="23"/>
  <c r="H311" i="23"/>
  <c r="I311" i="23" s="1"/>
  <c r="K479" i="19"/>
  <c r="C502" i="19" s="1"/>
  <c r="L477" i="19"/>
  <c r="G84" i="19" s="1"/>
  <c r="K239" i="19"/>
  <c r="C262" i="19" s="1"/>
  <c r="L237" i="19"/>
  <c r="G42" i="19" s="1"/>
  <c r="L68" i="23"/>
  <c r="G121" i="23"/>
  <c r="N48" i="19"/>
  <c r="G120" i="19"/>
  <c r="B150" i="21"/>
  <c r="B127" i="21"/>
  <c r="B99" i="21"/>
  <c r="B120" i="21"/>
  <c r="B141" i="21"/>
  <c r="B113" i="21"/>
  <c r="B70" i="21"/>
  <c r="B56" i="21"/>
  <c r="B42" i="21"/>
  <c r="B134" i="21"/>
  <c r="B106" i="21"/>
  <c r="B77" i="21"/>
  <c r="B63" i="21"/>
  <c r="B49" i="21"/>
  <c r="B35" i="21"/>
  <c r="L13" i="21"/>
  <c r="B86" i="21"/>
  <c r="L38" i="23"/>
  <c r="G91" i="23"/>
  <c r="K175" i="21"/>
  <c r="C204" i="21"/>
  <c r="G33" i="21"/>
  <c r="K317" i="19"/>
  <c r="I319" i="19"/>
  <c r="J319" i="19" s="1"/>
  <c r="K255" i="21"/>
  <c r="C284" i="21"/>
  <c r="G47" i="21"/>
  <c r="I203" i="9"/>
  <c r="O202" i="9"/>
  <c r="J219" i="9"/>
  <c r="J138" i="9"/>
  <c r="L63" i="23"/>
  <c r="G116" i="23"/>
  <c r="H199" i="19"/>
  <c r="G280" i="23"/>
  <c r="H280" i="23"/>
  <c r="H281" i="23"/>
  <c r="I281" i="23" s="1"/>
  <c r="G61" i="25"/>
  <c r="I250" i="23"/>
  <c r="N61" i="21"/>
  <c r="G125" i="21"/>
  <c r="N127" i="19"/>
  <c r="F74" i="20" l="1"/>
  <c r="K161" i="23"/>
  <c r="L161" i="23" s="1"/>
  <c r="H34" i="23" s="1"/>
  <c r="L197" i="19"/>
  <c r="G35" i="19" s="1"/>
  <c r="N197" i="19"/>
  <c r="L116" i="23"/>
  <c r="G84" i="21"/>
  <c r="N33" i="21"/>
  <c r="G97" i="21"/>
  <c r="N68" i="21"/>
  <c r="G132" i="21"/>
  <c r="L139" i="9"/>
  <c r="L220" i="9"/>
  <c r="K198" i="19"/>
  <c r="I252" i="23"/>
  <c r="J252" i="23" s="1"/>
  <c r="K250" i="23"/>
  <c r="H282" i="23"/>
  <c r="O203" i="9"/>
  <c r="I204" i="9"/>
  <c r="O204" i="9" s="1"/>
  <c r="K318" i="19"/>
  <c r="K221" i="9"/>
  <c r="K140" i="9"/>
  <c r="K222" i="9" s="1"/>
  <c r="H372" i="23"/>
  <c r="I357" i="19"/>
  <c r="G359" i="19"/>
  <c r="N75" i="21"/>
  <c r="G139" i="21"/>
  <c r="I437" i="19"/>
  <c r="G439" i="19"/>
  <c r="G220" i="21"/>
  <c r="H221" i="21"/>
  <c r="I221" i="21" s="1"/>
  <c r="H220" i="21"/>
  <c r="H222" i="21" s="1"/>
  <c r="G404" i="19"/>
  <c r="N399" i="19"/>
  <c r="N134" i="19"/>
  <c r="L96" i="23"/>
  <c r="G128" i="23"/>
  <c r="L128" i="23" s="1"/>
  <c r="L86" i="23"/>
  <c r="G192" i="23"/>
  <c r="I190" i="23"/>
  <c r="G260" i="21"/>
  <c r="H261" i="21"/>
  <c r="I261" i="21" s="1"/>
  <c r="H260" i="21"/>
  <c r="L121" i="23"/>
  <c r="I310" i="23"/>
  <c r="G312" i="23"/>
  <c r="G300" i="21"/>
  <c r="H301" i="21"/>
  <c r="I301" i="21" s="1"/>
  <c r="H300" i="21"/>
  <c r="H302" i="21" s="1"/>
  <c r="G342" i="21"/>
  <c r="I340" i="21"/>
  <c r="I277" i="19"/>
  <c r="G279" i="19"/>
  <c r="J220" i="9"/>
  <c r="O220" i="9" s="1"/>
  <c r="J139" i="9"/>
  <c r="N47" i="21"/>
  <c r="G111" i="21"/>
  <c r="G180" i="21"/>
  <c r="H180" i="21"/>
  <c r="H182" i="21" s="1"/>
  <c r="H181" i="21"/>
  <c r="I181" i="21" s="1"/>
  <c r="N120" i="19"/>
  <c r="N164" i="19" s="1"/>
  <c r="N42" i="19"/>
  <c r="G114" i="19"/>
  <c r="K160" i="23"/>
  <c r="I162" i="23"/>
  <c r="J162" i="23" s="1"/>
  <c r="N160" i="23"/>
  <c r="G164" i="19"/>
  <c r="G372" i="23"/>
  <c r="I370" i="23"/>
  <c r="N54" i="21"/>
  <c r="G118" i="21"/>
  <c r="G380" i="21"/>
  <c r="H381" i="21"/>
  <c r="I381" i="21" s="1"/>
  <c r="H380" i="21"/>
  <c r="H382" i="21" s="1"/>
  <c r="N40" i="21"/>
  <c r="G104" i="21"/>
  <c r="L106" i="23"/>
  <c r="O138" i="9"/>
  <c r="L75" i="23"/>
  <c r="I147" i="9"/>
  <c r="O146" i="9"/>
  <c r="M221" i="9"/>
  <c r="M140" i="9"/>
  <c r="M222" i="9" s="1"/>
  <c r="N70" i="19"/>
  <c r="G142" i="19"/>
  <c r="I156" i="9"/>
  <c r="O156" i="9" s="1"/>
  <c r="O155" i="9"/>
  <c r="B167" i="19"/>
  <c r="B158" i="19"/>
  <c r="B151" i="19"/>
  <c r="B116" i="19"/>
  <c r="B137" i="19"/>
  <c r="B109" i="19"/>
  <c r="B86" i="19"/>
  <c r="B72" i="19"/>
  <c r="B58" i="19"/>
  <c r="B44" i="19"/>
  <c r="B130" i="19"/>
  <c r="B96" i="19"/>
  <c r="B144" i="19"/>
  <c r="B79" i="19"/>
  <c r="B65" i="19"/>
  <c r="B51" i="19"/>
  <c r="B37" i="19"/>
  <c r="B123" i="19"/>
  <c r="G222" i="23"/>
  <c r="I220" i="23"/>
  <c r="H246" i="19"/>
  <c r="I246" i="19" s="1"/>
  <c r="H244" i="19"/>
  <c r="H247" i="19" s="1"/>
  <c r="H245" i="19"/>
  <c r="I245" i="19"/>
  <c r="N479" i="19"/>
  <c r="N84" i="19"/>
  <c r="G156" i="19"/>
  <c r="I188" i="9"/>
  <c r="O188" i="9" s="1"/>
  <c r="O187" i="9"/>
  <c r="I340" i="23"/>
  <c r="G342" i="23"/>
  <c r="L111" i="23"/>
  <c r="I211" i="9"/>
  <c r="O210" i="9"/>
  <c r="J69" i="20"/>
  <c r="B92" i="20" s="1"/>
  <c r="K67" i="20"/>
  <c r="C37" i="20" s="1"/>
  <c r="G282" i="23"/>
  <c r="I280" i="23"/>
  <c r="K319" i="19"/>
  <c r="C342" i="19" s="1"/>
  <c r="L317" i="19"/>
  <c r="G56" i="19" s="1"/>
  <c r="B135" i="21"/>
  <c r="B107" i="21"/>
  <c r="B151" i="21"/>
  <c r="B128" i="21"/>
  <c r="B100" i="21"/>
  <c r="B121" i="21"/>
  <c r="B78" i="21"/>
  <c r="B64" i="21"/>
  <c r="B50" i="21"/>
  <c r="B36" i="21"/>
  <c r="B142" i="21"/>
  <c r="B114" i="21"/>
  <c r="B87" i="21"/>
  <c r="B71" i="21"/>
  <c r="B57" i="21"/>
  <c r="B43" i="21"/>
  <c r="N125" i="21"/>
  <c r="N317" i="19"/>
  <c r="L91" i="23"/>
  <c r="H312" i="23"/>
  <c r="I179" i="9"/>
  <c r="O178" i="9"/>
  <c r="O219" i="9"/>
  <c r="G420" i="21"/>
  <c r="H420" i="21"/>
  <c r="H422" i="21" s="1"/>
  <c r="H421" i="21"/>
  <c r="I421" i="21" s="1"/>
  <c r="H439" i="19"/>
  <c r="H342" i="21"/>
  <c r="H61" i="25"/>
  <c r="I61" i="25" s="1"/>
  <c r="O139" i="9"/>
  <c r="I221" i="9"/>
  <c r="I140" i="9"/>
  <c r="H279" i="19"/>
  <c r="J68" i="20"/>
  <c r="N148" i="19"/>
  <c r="H192" i="23"/>
  <c r="G247" i="19"/>
  <c r="I244" i="19"/>
  <c r="G487" i="19"/>
  <c r="I180" i="9" l="1"/>
  <c r="O180" i="9" s="1"/>
  <c r="O179" i="9"/>
  <c r="N104" i="21"/>
  <c r="K437" i="19"/>
  <c r="I439" i="19"/>
  <c r="J439" i="19" s="1"/>
  <c r="I359" i="19"/>
  <c r="J359" i="19" s="1"/>
  <c r="K357" i="19" s="1"/>
  <c r="L318" i="19"/>
  <c r="H56" i="19" s="1"/>
  <c r="H128" i="19" s="1"/>
  <c r="N318" i="19"/>
  <c r="G325" i="19" s="1"/>
  <c r="K252" i="23"/>
  <c r="C266" i="23" s="1"/>
  <c r="G141" i="23" s="1"/>
  <c r="D45" i="5" s="1"/>
  <c r="D45" i="6" s="1"/>
  <c r="E45" i="6" s="1"/>
  <c r="L250" i="23"/>
  <c r="G49" i="23" s="1"/>
  <c r="G148" i="21"/>
  <c r="N148" i="21" s="1"/>
  <c r="N97" i="21"/>
  <c r="H87" i="23"/>
  <c r="K68" i="20"/>
  <c r="D37" i="20" s="1"/>
  <c r="M68" i="20"/>
  <c r="G422" i="21"/>
  <c r="I420" i="21"/>
  <c r="I282" i="23"/>
  <c r="J282" i="23" s="1"/>
  <c r="K280" i="23" s="1"/>
  <c r="H486" i="19"/>
  <c r="I486" i="19" s="1"/>
  <c r="H485" i="19"/>
  <c r="I485" i="19" s="1"/>
  <c r="H484" i="19"/>
  <c r="I148" i="9"/>
  <c r="O148" i="9" s="1"/>
  <c r="O147" i="9"/>
  <c r="I372" i="23"/>
  <c r="J372" i="23" s="1"/>
  <c r="K370" i="23" s="1"/>
  <c r="N114" i="19"/>
  <c r="K277" i="19"/>
  <c r="I279" i="19"/>
  <c r="J279" i="19" s="1"/>
  <c r="N277" i="19"/>
  <c r="G262" i="21"/>
  <c r="I260" i="21"/>
  <c r="N139" i="21"/>
  <c r="N250" i="23"/>
  <c r="L198" i="19"/>
  <c r="H35" i="19" s="1"/>
  <c r="N198" i="19"/>
  <c r="G205" i="19" s="1"/>
  <c r="L221" i="9"/>
  <c r="L140" i="9"/>
  <c r="L222" i="9" s="1"/>
  <c r="N84" i="21"/>
  <c r="G204" i="19"/>
  <c r="N199" i="19"/>
  <c r="N161" i="23"/>
  <c r="G168" i="23" s="1"/>
  <c r="I247" i="19"/>
  <c r="J247" i="19" s="1"/>
  <c r="G167" i="23"/>
  <c r="N162" i="23"/>
  <c r="N111" i="21"/>
  <c r="I380" i="21"/>
  <c r="G382" i="21"/>
  <c r="L160" i="23"/>
  <c r="G34" i="23" s="1"/>
  <c r="K162" i="23"/>
  <c r="C176" i="23" s="1"/>
  <c r="G138" i="23" s="1"/>
  <c r="J221" i="9"/>
  <c r="O221" i="9" s="1"/>
  <c r="J140" i="9"/>
  <c r="J222" i="9" s="1"/>
  <c r="K340" i="21"/>
  <c r="I342" i="21"/>
  <c r="J342" i="21" s="1"/>
  <c r="N340" i="21"/>
  <c r="I300" i="21"/>
  <c r="G302" i="21"/>
  <c r="I192" i="23"/>
  <c r="J192" i="23" s="1"/>
  <c r="K190" i="23" s="1"/>
  <c r="H404" i="19"/>
  <c r="H406" i="19"/>
  <c r="I406" i="19" s="1"/>
  <c r="H405" i="19"/>
  <c r="I405" i="19" s="1"/>
  <c r="I220" i="21"/>
  <c r="G222" i="21"/>
  <c r="K251" i="23"/>
  <c r="K199" i="19"/>
  <c r="C222" i="19" s="1"/>
  <c r="G324" i="19"/>
  <c r="N319" i="19"/>
  <c r="I342" i="23"/>
  <c r="J342" i="23" s="1"/>
  <c r="K340" i="23" s="1"/>
  <c r="N142" i="19"/>
  <c r="I312" i="23"/>
  <c r="J312" i="23" s="1"/>
  <c r="J59" i="25"/>
  <c r="I212" i="9"/>
  <c r="O212" i="9" s="1"/>
  <c r="O211" i="9"/>
  <c r="I222" i="23"/>
  <c r="J222" i="23" s="1"/>
  <c r="K220" i="23" s="1"/>
  <c r="O140" i="9"/>
  <c r="N56" i="19"/>
  <c r="G128" i="19"/>
  <c r="J37" i="20"/>
  <c r="C52" i="20"/>
  <c r="N156" i="19"/>
  <c r="N118" i="21"/>
  <c r="G182" i="21"/>
  <c r="I180" i="21"/>
  <c r="H262" i="21"/>
  <c r="G407" i="19"/>
  <c r="I404" i="19"/>
  <c r="N132" i="21"/>
  <c r="N35" i="19"/>
  <c r="G107" i="19"/>
  <c r="L220" i="23" l="1"/>
  <c r="G44" i="23" s="1"/>
  <c r="N220" i="23"/>
  <c r="K192" i="23"/>
  <c r="C206" i="23" s="1"/>
  <c r="G139" i="23" s="1"/>
  <c r="D43" i="5" s="1"/>
  <c r="D43" i="6" s="1"/>
  <c r="E43" i="6" s="1"/>
  <c r="L190" i="23"/>
  <c r="G39" i="23" s="1"/>
  <c r="N190" i="23"/>
  <c r="L370" i="23"/>
  <c r="G69" i="23" s="1"/>
  <c r="N370" i="23"/>
  <c r="L357" i="19"/>
  <c r="G63" i="19" s="1"/>
  <c r="N357" i="19"/>
  <c r="L340" i="23"/>
  <c r="G64" i="23" s="1"/>
  <c r="N340" i="23"/>
  <c r="L280" i="23"/>
  <c r="G54" i="23" s="1"/>
  <c r="N280" i="23"/>
  <c r="K180" i="21"/>
  <c r="I182" i="21"/>
  <c r="J182" i="21" s="1"/>
  <c r="L37" i="20"/>
  <c r="J61" i="25"/>
  <c r="B67" i="25" s="1"/>
  <c r="K59" i="25"/>
  <c r="C33" i="25" s="1"/>
  <c r="M59" i="25"/>
  <c r="L251" i="23"/>
  <c r="H49" i="23" s="1"/>
  <c r="H102" i="23" s="1"/>
  <c r="N251" i="23"/>
  <c r="G258" i="23" s="1"/>
  <c r="K341" i="21"/>
  <c r="D42" i="5"/>
  <c r="D42" i="6" s="1"/>
  <c r="E42" i="6" s="1"/>
  <c r="H169" i="23"/>
  <c r="I169" i="23" s="1"/>
  <c r="H168" i="23"/>
  <c r="I168" i="23" s="1"/>
  <c r="H167" i="23"/>
  <c r="K244" i="19"/>
  <c r="G207" i="19"/>
  <c r="I204" i="19"/>
  <c r="K278" i="19"/>
  <c r="D52" i="20"/>
  <c r="K311" i="23"/>
  <c r="G347" i="21"/>
  <c r="I382" i="21"/>
  <c r="J382" i="21" s="1"/>
  <c r="K380" i="21" s="1"/>
  <c r="H206" i="19"/>
  <c r="I206" i="19" s="1"/>
  <c r="H204" i="19"/>
  <c r="H205" i="19"/>
  <c r="I205" i="19" s="1"/>
  <c r="I262" i="21"/>
  <c r="J262" i="21" s="1"/>
  <c r="N260" i="21"/>
  <c r="K260" i="21"/>
  <c r="K371" i="23"/>
  <c r="K372" i="23" s="1"/>
  <c r="C386" i="23" s="1"/>
  <c r="G145" i="23" s="1"/>
  <c r="D49" i="5" s="1"/>
  <c r="D49" i="6" s="1"/>
  <c r="E49" i="6" s="1"/>
  <c r="H487" i="19"/>
  <c r="I484" i="19"/>
  <c r="F75" i="20"/>
  <c r="M69" i="20"/>
  <c r="L437" i="19"/>
  <c r="G77" i="19" s="1"/>
  <c r="I407" i="19"/>
  <c r="J407" i="19" s="1"/>
  <c r="K404" i="19"/>
  <c r="N404" i="19" s="1"/>
  <c r="N128" i="19"/>
  <c r="K310" i="23"/>
  <c r="H326" i="19"/>
  <c r="I326" i="19" s="1"/>
  <c r="H324" i="19"/>
  <c r="H327" i="19" s="1"/>
  <c r="H325" i="19"/>
  <c r="I325" i="19" s="1"/>
  <c r="H407" i="19"/>
  <c r="K342" i="21"/>
  <c r="C365" i="21" s="1"/>
  <c r="L340" i="21"/>
  <c r="G62" i="21" s="1"/>
  <c r="L34" i="23"/>
  <c r="G87" i="23"/>
  <c r="G170" i="23"/>
  <c r="I167" i="23"/>
  <c r="H107" i="19"/>
  <c r="L277" i="19"/>
  <c r="G49" i="19" s="1"/>
  <c r="K279" i="19"/>
  <c r="C302" i="19" s="1"/>
  <c r="K420" i="21"/>
  <c r="N420" i="21" s="1"/>
  <c r="I422" i="21"/>
  <c r="J422" i="21" s="1"/>
  <c r="N437" i="19"/>
  <c r="K221" i="23"/>
  <c r="K341" i="23"/>
  <c r="K191" i="23"/>
  <c r="G284" i="19"/>
  <c r="K281" i="23"/>
  <c r="K282" i="23" s="1"/>
  <c r="C296" i="23" s="1"/>
  <c r="G142" i="23" s="1"/>
  <c r="D46" i="5" s="1"/>
  <c r="D46" i="6" s="1"/>
  <c r="E46" i="6" s="1"/>
  <c r="K358" i="19"/>
  <c r="K359" i="19" s="1"/>
  <c r="C382" i="19" s="1"/>
  <c r="J52" i="20"/>
  <c r="I222" i="9"/>
  <c r="O222" i="9" s="1"/>
  <c r="G327" i="19"/>
  <c r="K220" i="21"/>
  <c r="I222" i="21"/>
  <c r="J222" i="21" s="1"/>
  <c r="I302" i="21"/>
  <c r="J302" i="21" s="1"/>
  <c r="N300" i="21"/>
  <c r="K300" i="21"/>
  <c r="J60" i="25"/>
  <c r="G257" i="23"/>
  <c r="L49" i="23"/>
  <c r="G102" i="23"/>
  <c r="K438" i="19"/>
  <c r="G412" i="19" l="1"/>
  <c r="K246" i="19"/>
  <c r="G427" i="21"/>
  <c r="L380" i="21"/>
  <c r="G69" i="21" s="1"/>
  <c r="N380" i="21"/>
  <c r="K222" i="21"/>
  <c r="C245" i="21" s="1"/>
  <c r="L220" i="21"/>
  <c r="G41" i="21" s="1"/>
  <c r="L341" i="23"/>
  <c r="H64" i="23" s="1"/>
  <c r="H117" i="23" s="1"/>
  <c r="N341" i="23"/>
  <c r="G348" i="23" s="1"/>
  <c r="N49" i="19"/>
  <c r="G121" i="19"/>
  <c r="G94" i="19"/>
  <c r="L180" i="21"/>
  <c r="G34" i="21" s="1"/>
  <c r="G364" i="19"/>
  <c r="G122" i="23"/>
  <c r="L102" i="23"/>
  <c r="K301" i="21"/>
  <c r="I324" i="19"/>
  <c r="L221" i="23"/>
  <c r="H44" i="23" s="1"/>
  <c r="H97" i="23" s="1"/>
  <c r="N221" i="23"/>
  <c r="G228" i="23" s="1"/>
  <c r="L87" i="23"/>
  <c r="G149" i="19"/>
  <c r="K261" i="21"/>
  <c r="L341" i="21"/>
  <c r="H62" i="21" s="1"/>
  <c r="H126" i="21" s="1"/>
  <c r="N341" i="21"/>
  <c r="N180" i="21"/>
  <c r="G347" i="23"/>
  <c r="N342" i="23"/>
  <c r="G135" i="19"/>
  <c r="G227" i="23"/>
  <c r="N222" i="23"/>
  <c r="L438" i="19"/>
  <c r="H77" i="19" s="1"/>
  <c r="H149" i="19" s="1"/>
  <c r="N438" i="19"/>
  <c r="G445" i="19" s="1"/>
  <c r="G307" i="21"/>
  <c r="I487" i="19"/>
  <c r="J487" i="19" s="1"/>
  <c r="K60" i="25"/>
  <c r="D33" i="25" s="1"/>
  <c r="M60" i="25"/>
  <c r="M61" i="25" s="1"/>
  <c r="N220" i="21"/>
  <c r="G444" i="19"/>
  <c r="N439" i="19"/>
  <c r="K312" i="23"/>
  <c r="C326" i="23" s="1"/>
  <c r="G143" i="23" s="1"/>
  <c r="D47" i="5" s="1"/>
  <c r="D47" i="6" s="1"/>
  <c r="E47" i="6" s="1"/>
  <c r="L310" i="23"/>
  <c r="G59" i="23" s="1"/>
  <c r="N310" i="23"/>
  <c r="L404" i="19"/>
  <c r="G71" i="19" s="1"/>
  <c r="G75" i="20"/>
  <c r="G74" i="20"/>
  <c r="G76" i="20"/>
  <c r="H76" i="20" s="1"/>
  <c r="L371" i="23"/>
  <c r="H69" i="23" s="1"/>
  <c r="H122" i="23" s="1"/>
  <c r="N371" i="23"/>
  <c r="G378" i="23" s="1"/>
  <c r="K405" i="19"/>
  <c r="L278" i="19"/>
  <c r="H49" i="19" s="1"/>
  <c r="N278" i="19"/>
  <c r="L244" i="19"/>
  <c r="G43" i="19" s="1"/>
  <c r="K247" i="19"/>
  <c r="C263" i="19" s="1"/>
  <c r="G176" i="19" s="1"/>
  <c r="D22" i="5" s="1"/>
  <c r="N244" i="19"/>
  <c r="K245" i="19"/>
  <c r="G287" i="23"/>
  <c r="N282" i="23"/>
  <c r="K342" i="23"/>
  <c r="C356" i="23" s="1"/>
  <c r="G144" i="23" s="1"/>
  <c r="D48" i="5" s="1"/>
  <c r="D48" i="6" s="1"/>
  <c r="E48" i="6" s="1"/>
  <c r="G197" i="23"/>
  <c r="G97" i="23"/>
  <c r="G260" i="23"/>
  <c r="L281" i="23"/>
  <c r="H54" i="23" s="1"/>
  <c r="H107" i="23" s="1"/>
  <c r="N281" i="23"/>
  <c r="G288" i="23" s="1"/>
  <c r="L420" i="21"/>
  <c r="G76" i="21" s="1"/>
  <c r="N62" i="21"/>
  <c r="G126" i="21"/>
  <c r="K439" i="19"/>
  <c r="C462" i="19" s="1"/>
  <c r="G267" i="21"/>
  <c r="L311" i="23"/>
  <c r="H59" i="23" s="1"/>
  <c r="H112" i="23" s="1"/>
  <c r="N311" i="23"/>
  <c r="G318" i="23" s="1"/>
  <c r="I207" i="19"/>
  <c r="J207" i="19" s="1"/>
  <c r="K204" i="19" s="1"/>
  <c r="N252" i="23"/>
  <c r="K302" i="21"/>
  <c r="C325" i="21" s="1"/>
  <c r="L300" i="21"/>
  <c r="G55" i="21" s="1"/>
  <c r="K221" i="21"/>
  <c r="L358" i="19"/>
  <c r="H63" i="19" s="1"/>
  <c r="H135" i="19" s="1"/>
  <c r="N358" i="19"/>
  <c r="G365" i="19" s="1"/>
  <c r="L191" i="23"/>
  <c r="H39" i="23" s="1"/>
  <c r="N191" i="23"/>
  <c r="G198" i="23" s="1"/>
  <c r="K421" i="21"/>
  <c r="I170" i="23"/>
  <c r="J170" i="23" s="1"/>
  <c r="H75" i="20"/>
  <c r="F77" i="20"/>
  <c r="K262" i="21"/>
  <c r="C285" i="21" s="1"/>
  <c r="L260" i="21"/>
  <c r="G48" i="21" s="1"/>
  <c r="H207" i="19"/>
  <c r="K381" i="21"/>
  <c r="K382" i="21" s="1"/>
  <c r="C405" i="21" s="1"/>
  <c r="H170" i="23"/>
  <c r="H33" i="25"/>
  <c r="C34" i="25"/>
  <c r="C24" i="25" s="1"/>
  <c r="C46" i="25"/>
  <c r="K181" i="21"/>
  <c r="N107" i="19"/>
  <c r="L54" i="23"/>
  <c r="G107" i="23"/>
  <c r="L64" i="23"/>
  <c r="G117" i="23"/>
  <c r="G377" i="23"/>
  <c r="N372" i="23"/>
  <c r="L39" i="23"/>
  <c r="G92" i="23"/>
  <c r="K222" i="23"/>
  <c r="C236" i="23" s="1"/>
  <c r="G140" i="23" s="1"/>
  <c r="L204" i="19" l="1"/>
  <c r="G36" i="19" s="1"/>
  <c r="N204" i="19"/>
  <c r="K206" i="19"/>
  <c r="K205" i="19"/>
  <c r="D44" i="5"/>
  <c r="D44" i="6" s="1"/>
  <c r="E44" i="6" s="1"/>
  <c r="G147" i="23"/>
  <c r="G380" i="23"/>
  <c r="L421" i="21"/>
  <c r="H76" i="21" s="1"/>
  <c r="H140" i="21" s="1"/>
  <c r="N421" i="21"/>
  <c r="H259" i="23"/>
  <c r="I259" i="23" s="1"/>
  <c r="H257" i="23"/>
  <c r="H258" i="23"/>
  <c r="I258" i="23" s="1"/>
  <c r="G367" i="19"/>
  <c r="L246" i="19"/>
  <c r="I43" i="19" s="1"/>
  <c r="I115" i="19" s="1"/>
  <c r="N246" i="19"/>
  <c r="G254" i="19" s="1"/>
  <c r="L117" i="23"/>
  <c r="J33" i="25"/>
  <c r="J34" i="25" s="1"/>
  <c r="H34" i="25"/>
  <c r="H24" i="25" s="1"/>
  <c r="G112" i="21"/>
  <c r="K167" i="23"/>
  <c r="L221" i="21"/>
  <c r="H41" i="21" s="1"/>
  <c r="H105" i="21" s="1"/>
  <c r="N221" i="21"/>
  <c r="G228" i="21" s="1"/>
  <c r="N126" i="21"/>
  <c r="L97" i="23"/>
  <c r="G115" i="19"/>
  <c r="L405" i="19"/>
  <c r="H71" i="19" s="1"/>
  <c r="H143" i="19" s="1"/>
  <c r="N405" i="19"/>
  <c r="G77" i="20"/>
  <c r="H74" i="20"/>
  <c r="G317" i="23"/>
  <c r="N312" i="23"/>
  <c r="H446" i="19"/>
  <c r="I446" i="19" s="1"/>
  <c r="H445" i="19"/>
  <c r="H444" i="19"/>
  <c r="H447" i="19" s="1"/>
  <c r="G227" i="21"/>
  <c r="N222" i="21"/>
  <c r="H228" i="23"/>
  <c r="H229" i="23"/>
  <c r="I229" i="23" s="1"/>
  <c r="H227" i="23"/>
  <c r="H348" i="23"/>
  <c r="I348" i="23" s="1"/>
  <c r="H349" i="23"/>
  <c r="I349" i="23" s="1"/>
  <c r="H347" i="23"/>
  <c r="H350" i="23" s="1"/>
  <c r="G348" i="21"/>
  <c r="N342" i="21"/>
  <c r="L261" i="21"/>
  <c r="H48" i="21" s="1"/>
  <c r="H112" i="21" s="1"/>
  <c r="N261" i="21"/>
  <c r="I327" i="19"/>
  <c r="J327" i="19" s="1"/>
  <c r="K324" i="19"/>
  <c r="N324" i="19" s="1"/>
  <c r="L122" i="23"/>
  <c r="G85" i="21"/>
  <c r="G98" i="21"/>
  <c r="K406" i="19"/>
  <c r="K422" i="21"/>
  <c r="C445" i="21" s="1"/>
  <c r="G200" i="23"/>
  <c r="L181" i="21"/>
  <c r="H34" i="21" s="1"/>
  <c r="N181" i="21"/>
  <c r="G188" i="21" s="1"/>
  <c r="G119" i="21"/>
  <c r="H289" i="23"/>
  <c r="I289" i="23" s="1"/>
  <c r="H287" i="23"/>
  <c r="H288" i="23"/>
  <c r="I288" i="23" s="1"/>
  <c r="L245" i="19"/>
  <c r="H43" i="19" s="1"/>
  <c r="H115" i="19" s="1"/>
  <c r="N245" i="19"/>
  <c r="G253" i="19" s="1"/>
  <c r="G285" i="19"/>
  <c r="N279" i="19"/>
  <c r="L59" i="23"/>
  <c r="G112" i="23"/>
  <c r="G76" i="23"/>
  <c r="G78" i="23" s="1"/>
  <c r="G447" i="19"/>
  <c r="I444" i="19"/>
  <c r="G230" i="23"/>
  <c r="I227" i="23"/>
  <c r="G350" i="23"/>
  <c r="N149" i="19"/>
  <c r="L301" i="21"/>
  <c r="H55" i="21" s="1"/>
  <c r="H119" i="21" s="1"/>
  <c r="N301" i="21"/>
  <c r="L69" i="23"/>
  <c r="K182" i="21"/>
  <c r="C205" i="21" s="1"/>
  <c r="D22" i="6"/>
  <c r="G143" i="19"/>
  <c r="N63" i="19"/>
  <c r="N69" i="21"/>
  <c r="G133" i="21"/>
  <c r="H92" i="23"/>
  <c r="L92" i="23" s="1"/>
  <c r="H76" i="23"/>
  <c r="H78" i="23" s="1"/>
  <c r="L44" i="23"/>
  <c r="H378" i="23"/>
  <c r="I378" i="23" s="1"/>
  <c r="H377" i="23"/>
  <c r="H380" i="23" s="1"/>
  <c r="H379" i="23"/>
  <c r="I379" i="23" s="1"/>
  <c r="L107" i="23"/>
  <c r="H46" i="25"/>
  <c r="L381" i="21"/>
  <c r="H69" i="21" s="1"/>
  <c r="H133" i="21" s="1"/>
  <c r="N381" i="21"/>
  <c r="G388" i="21" s="1"/>
  <c r="N76" i="21"/>
  <c r="G140" i="21"/>
  <c r="N192" i="23"/>
  <c r="G290" i="23"/>
  <c r="I287" i="23"/>
  <c r="G252" i="19"/>
  <c r="N247" i="19"/>
  <c r="H121" i="19"/>
  <c r="H94" i="19"/>
  <c r="D34" i="25"/>
  <c r="D24" i="25" s="1"/>
  <c r="D46" i="25"/>
  <c r="K484" i="19"/>
  <c r="I445" i="19"/>
  <c r="N135" i="19"/>
  <c r="G187" i="21"/>
  <c r="N77" i="19"/>
  <c r="N94" i="19" s="1"/>
  <c r="I228" i="23"/>
  <c r="N359" i="19"/>
  <c r="N121" i="19"/>
  <c r="N165" i="19" s="1"/>
  <c r="G165" i="19"/>
  <c r="N41" i="21"/>
  <c r="G105" i="21"/>
  <c r="G387" i="21"/>
  <c r="G332" i="19" l="1"/>
  <c r="G390" i="21"/>
  <c r="N143" i="19"/>
  <c r="I230" i="23"/>
  <c r="J230" i="23" s="1"/>
  <c r="K227" i="23" s="1"/>
  <c r="G149" i="21"/>
  <c r="N98" i="21"/>
  <c r="G268" i="21"/>
  <c r="N262" i="21"/>
  <c r="G320" i="23"/>
  <c r="L167" i="23"/>
  <c r="G35" i="23" s="1"/>
  <c r="N167" i="23"/>
  <c r="G428" i="21"/>
  <c r="N422" i="21"/>
  <c r="L206" i="19"/>
  <c r="I36" i="19" s="1"/>
  <c r="N206" i="19"/>
  <c r="G214" i="19" s="1"/>
  <c r="N105" i="21"/>
  <c r="N182" i="21"/>
  <c r="G256" i="19"/>
  <c r="I252" i="19"/>
  <c r="N140" i="21"/>
  <c r="N133" i="21"/>
  <c r="K168" i="23"/>
  <c r="K169" i="23" s="1"/>
  <c r="G308" i="21"/>
  <c r="N302" i="21"/>
  <c r="H85" i="21"/>
  <c r="H98" i="21"/>
  <c r="N34" i="21"/>
  <c r="H77" i="20"/>
  <c r="I77" i="20" s="1"/>
  <c r="N115" i="19"/>
  <c r="N112" i="21"/>
  <c r="G212" i="19"/>
  <c r="H254" i="19"/>
  <c r="H253" i="19"/>
  <c r="I253" i="19" s="1"/>
  <c r="H252" i="19"/>
  <c r="H255" i="19"/>
  <c r="I255" i="19" s="1"/>
  <c r="L484" i="19"/>
  <c r="G85" i="19" s="1"/>
  <c r="N484" i="19"/>
  <c r="H286" i="19"/>
  <c r="I286" i="19" s="1"/>
  <c r="H284" i="19"/>
  <c r="H285" i="19"/>
  <c r="N119" i="21"/>
  <c r="L406" i="19"/>
  <c r="I71" i="19" s="1"/>
  <c r="I143" i="19" s="1"/>
  <c r="N406" i="19"/>
  <c r="G414" i="19" s="1"/>
  <c r="K407" i="19"/>
  <c r="C423" i="19" s="1"/>
  <c r="G180" i="19" s="1"/>
  <c r="D26" i="5" s="1"/>
  <c r="L324" i="19"/>
  <c r="G57" i="19" s="1"/>
  <c r="H349" i="21"/>
  <c r="I349" i="21" s="1"/>
  <c r="H347" i="21"/>
  <c r="H348" i="21"/>
  <c r="H228" i="21"/>
  <c r="I228" i="21" s="1"/>
  <c r="H229" i="21"/>
  <c r="I229" i="21" s="1"/>
  <c r="H227" i="21"/>
  <c r="H230" i="21" s="1"/>
  <c r="N43" i="19"/>
  <c r="N48" i="21"/>
  <c r="I254" i="19"/>
  <c r="H260" i="23"/>
  <c r="I257" i="23"/>
  <c r="I377" i="23"/>
  <c r="G108" i="19"/>
  <c r="H198" i="23"/>
  <c r="I198" i="23" s="1"/>
  <c r="H199" i="23"/>
  <c r="I199" i="23" s="1"/>
  <c r="H197" i="23"/>
  <c r="H129" i="23"/>
  <c r="H131" i="23" s="1"/>
  <c r="I447" i="19"/>
  <c r="J447" i="19" s="1"/>
  <c r="K444" i="19" s="1"/>
  <c r="H366" i="19"/>
  <c r="I366" i="19" s="1"/>
  <c r="H365" i="19"/>
  <c r="I365" i="19" s="1"/>
  <c r="H364" i="19"/>
  <c r="G190" i="21"/>
  <c r="I290" i="23"/>
  <c r="J290" i="23" s="1"/>
  <c r="K287" i="23" s="1"/>
  <c r="L76" i="23"/>
  <c r="L78" i="23" s="1"/>
  <c r="E22" i="6"/>
  <c r="I347" i="23"/>
  <c r="N382" i="21"/>
  <c r="H165" i="19"/>
  <c r="L112" i="23"/>
  <c r="G129" i="23"/>
  <c r="I285" i="19"/>
  <c r="G287" i="19"/>
  <c r="H290" i="23"/>
  <c r="N55" i="21"/>
  <c r="K325" i="19"/>
  <c r="K326" i="19" s="1"/>
  <c r="I348" i="21"/>
  <c r="G350" i="21"/>
  <c r="H230" i="23"/>
  <c r="G230" i="21"/>
  <c r="I227" i="21"/>
  <c r="H319" i="23"/>
  <c r="I319" i="23" s="1"/>
  <c r="H317" i="23"/>
  <c r="H320" i="23" s="1"/>
  <c r="H318" i="23"/>
  <c r="I318" i="23" s="1"/>
  <c r="G413" i="19"/>
  <c r="N407" i="19"/>
  <c r="K485" i="19"/>
  <c r="L205" i="19"/>
  <c r="H36" i="19" s="1"/>
  <c r="N36" i="19" s="1"/>
  <c r="N205" i="19"/>
  <c r="G213" i="19" s="1"/>
  <c r="K207" i="19"/>
  <c r="C223" i="19" s="1"/>
  <c r="G175" i="19" s="1"/>
  <c r="L287" i="23" l="1"/>
  <c r="G55" i="23" s="1"/>
  <c r="N287" i="23"/>
  <c r="L227" i="23"/>
  <c r="G45" i="23" s="1"/>
  <c r="K228" i="23"/>
  <c r="K229" i="23" s="1"/>
  <c r="N227" i="23"/>
  <c r="L444" i="19"/>
  <c r="G78" i="19" s="1"/>
  <c r="N444" i="19"/>
  <c r="L326" i="19"/>
  <c r="I57" i="19" s="1"/>
  <c r="I129" i="19" s="1"/>
  <c r="N326" i="19"/>
  <c r="G334" i="19" s="1"/>
  <c r="L169" i="23"/>
  <c r="I35" i="23" s="1"/>
  <c r="N169" i="23"/>
  <c r="D21" i="5"/>
  <c r="I230" i="21"/>
  <c r="J230" i="21" s="1"/>
  <c r="D26" i="6"/>
  <c r="G430" i="21"/>
  <c r="L485" i="19"/>
  <c r="H85" i="19" s="1"/>
  <c r="H157" i="19" s="1"/>
  <c r="N485" i="19"/>
  <c r="G493" i="19" s="1"/>
  <c r="H389" i="21"/>
  <c r="I389" i="21" s="1"/>
  <c r="H387" i="21"/>
  <c r="H388" i="21"/>
  <c r="I388" i="21" s="1"/>
  <c r="G492" i="19"/>
  <c r="N71" i="19"/>
  <c r="K445" i="19"/>
  <c r="I317" i="23"/>
  <c r="H269" i="21"/>
  <c r="I269" i="21" s="1"/>
  <c r="H267" i="21"/>
  <c r="H268" i="21"/>
  <c r="K288" i="23"/>
  <c r="H367" i="19"/>
  <c r="I364" i="19"/>
  <c r="H350" i="21"/>
  <c r="I347" i="21"/>
  <c r="L325" i="19"/>
  <c r="H57" i="19" s="1"/>
  <c r="H129" i="19" s="1"/>
  <c r="N325" i="19"/>
  <c r="I350" i="23"/>
  <c r="J350" i="23" s="1"/>
  <c r="K347" i="23" s="1"/>
  <c r="K327" i="19"/>
  <c r="C343" i="19" s="1"/>
  <c r="G178" i="19" s="1"/>
  <c r="D24" i="5" s="1"/>
  <c r="H287" i="19"/>
  <c r="I284" i="19"/>
  <c r="K487" i="19"/>
  <c r="C503" i="19" s="1"/>
  <c r="G182" i="19" s="1"/>
  <c r="D28" i="5" s="1"/>
  <c r="N207" i="19"/>
  <c r="J74" i="20"/>
  <c r="N85" i="21"/>
  <c r="H307" i="21"/>
  <c r="H308" i="21"/>
  <c r="H309" i="21"/>
  <c r="I309" i="21" s="1"/>
  <c r="K252" i="19"/>
  <c r="I256" i="19"/>
  <c r="J256" i="19" s="1"/>
  <c r="H187" i="21"/>
  <c r="H189" i="21"/>
  <c r="I189" i="21" s="1"/>
  <c r="H188" i="21"/>
  <c r="I188" i="21" s="1"/>
  <c r="I108" i="19"/>
  <c r="L35" i="23"/>
  <c r="G88" i="23"/>
  <c r="I268" i="21"/>
  <c r="G270" i="21"/>
  <c r="I413" i="19"/>
  <c r="G416" i="19"/>
  <c r="H200" i="23"/>
  <c r="I197" i="23"/>
  <c r="I260" i="23"/>
  <c r="J260" i="23" s="1"/>
  <c r="K257" i="23"/>
  <c r="L168" i="23"/>
  <c r="H35" i="23" s="1"/>
  <c r="N168" i="23"/>
  <c r="N170" i="23" s="1"/>
  <c r="H108" i="19"/>
  <c r="H412" i="19"/>
  <c r="H413" i="19"/>
  <c r="H415" i="19"/>
  <c r="I415" i="19" s="1"/>
  <c r="H414" i="19"/>
  <c r="I414" i="19" s="1"/>
  <c r="L129" i="23"/>
  <c r="L131" i="23" s="1"/>
  <c r="G131" i="23"/>
  <c r="N108" i="19"/>
  <c r="K377" i="23"/>
  <c r="N377" i="23"/>
  <c r="I380" i="23"/>
  <c r="J380" i="23" s="1"/>
  <c r="N57" i="19"/>
  <c r="G129" i="19"/>
  <c r="G157" i="19"/>
  <c r="H256" i="19"/>
  <c r="G216" i="19"/>
  <c r="H149" i="21"/>
  <c r="N149" i="21" s="1"/>
  <c r="I308" i="21"/>
  <c r="G310" i="21"/>
  <c r="H428" i="21"/>
  <c r="I428" i="21" s="1"/>
  <c r="H427" i="21"/>
  <c r="H429" i="21"/>
  <c r="I429" i="21" s="1"/>
  <c r="K170" i="23"/>
  <c r="C177" i="23" s="1"/>
  <c r="K486" i="19"/>
  <c r="L347" i="23" l="1"/>
  <c r="G65" i="23" s="1"/>
  <c r="N347" i="23"/>
  <c r="L229" i="23"/>
  <c r="I45" i="23" s="1"/>
  <c r="I98" i="23" s="1"/>
  <c r="N229" i="23"/>
  <c r="K228" i="21"/>
  <c r="L257" i="23"/>
  <c r="G50" i="23" s="1"/>
  <c r="H190" i="21"/>
  <c r="I187" i="21"/>
  <c r="D24" i="6"/>
  <c r="I367" i="19"/>
  <c r="J367" i="19" s="1"/>
  <c r="G98" i="23"/>
  <c r="K378" i="23"/>
  <c r="K258" i="23"/>
  <c r="L88" i="23"/>
  <c r="H213" i="19"/>
  <c r="I213" i="19" s="1"/>
  <c r="H214" i="19"/>
  <c r="I214" i="19" s="1"/>
  <c r="H212" i="19"/>
  <c r="H215" i="19"/>
  <c r="I215" i="19" s="1"/>
  <c r="I287" i="19"/>
  <c r="J287" i="19" s="1"/>
  <c r="K284" i="19"/>
  <c r="N284" i="19" s="1"/>
  <c r="I320" i="23"/>
  <c r="J320" i="23" s="1"/>
  <c r="K317" i="23"/>
  <c r="K253" i="19"/>
  <c r="I88" i="23"/>
  <c r="G452" i="19"/>
  <c r="K74" i="20"/>
  <c r="C38" i="20" s="1"/>
  <c r="M74" i="20"/>
  <c r="G333" i="19"/>
  <c r="N327" i="19"/>
  <c r="L445" i="19"/>
  <c r="H78" i="19" s="1"/>
  <c r="H150" i="19" s="1"/>
  <c r="N445" i="19"/>
  <c r="G453" i="19" s="1"/>
  <c r="H390" i="21"/>
  <c r="I387" i="21"/>
  <c r="H416" i="19"/>
  <c r="I412" i="19"/>
  <c r="N257" i="23"/>
  <c r="L252" i="19"/>
  <c r="G44" i="19" s="1"/>
  <c r="H310" i="21"/>
  <c r="I307" i="21"/>
  <c r="K349" i="23"/>
  <c r="K348" i="23"/>
  <c r="K350" i="23" s="1"/>
  <c r="C357" i="23" s="1"/>
  <c r="I350" i="21"/>
  <c r="J350" i="21" s="1"/>
  <c r="K289" i="23"/>
  <c r="K290" i="23" s="1"/>
  <c r="C297" i="23" s="1"/>
  <c r="E26" i="6"/>
  <c r="D21" i="6"/>
  <c r="G150" i="19"/>
  <c r="L228" i="23"/>
  <c r="H45" i="23" s="1"/>
  <c r="H98" i="23" s="1"/>
  <c r="N228" i="23"/>
  <c r="N230" i="23" s="1"/>
  <c r="D28" i="6"/>
  <c r="L288" i="23"/>
  <c r="H55" i="23" s="1"/>
  <c r="H108" i="23" s="1"/>
  <c r="N288" i="23"/>
  <c r="J76" i="20"/>
  <c r="H430" i="21"/>
  <c r="I427" i="21"/>
  <c r="L486" i="19"/>
  <c r="I85" i="19" s="1"/>
  <c r="N486" i="19"/>
  <c r="G494" i="19" s="1"/>
  <c r="N129" i="19"/>
  <c r="L377" i="23"/>
  <c r="G70" i="23" s="1"/>
  <c r="K446" i="19"/>
  <c r="H88" i="23"/>
  <c r="I200" i="23"/>
  <c r="J200" i="23" s="1"/>
  <c r="N252" i="19"/>
  <c r="H270" i="21"/>
  <c r="I267" i="21"/>
  <c r="J75" i="20"/>
  <c r="J77" i="20" s="1"/>
  <c r="B93" i="20" s="1"/>
  <c r="D30" i="5" s="1"/>
  <c r="K227" i="21"/>
  <c r="K447" i="19"/>
  <c r="C463" i="19" s="1"/>
  <c r="G181" i="19" s="1"/>
  <c r="D27" i="5" s="1"/>
  <c r="K230" i="23"/>
  <c r="C237" i="23" s="1"/>
  <c r="G108" i="23"/>
  <c r="G292" i="19" l="1"/>
  <c r="K255" i="19"/>
  <c r="D146" i="5"/>
  <c r="D153" i="5" s="1"/>
  <c r="D30" i="6"/>
  <c r="L349" i="23"/>
  <c r="I65" i="23" s="1"/>
  <c r="I118" i="23" s="1"/>
  <c r="N349" i="23"/>
  <c r="L317" i="23"/>
  <c r="G60" i="23" s="1"/>
  <c r="H216" i="19"/>
  <c r="I212" i="19"/>
  <c r="L228" i="21"/>
  <c r="H42" i="21" s="1"/>
  <c r="H106" i="21" s="1"/>
  <c r="N228" i="21"/>
  <c r="G236" i="21" s="1"/>
  <c r="L446" i="19"/>
  <c r="I78" i="19" s="1"/>
  <c r="N446" i="19"/>
  <c r="G454" i="19" s="1"/>
  <c r="I157" i="19"/>
  <c r="N85" i="19"/>
  <c r="I310" i="21"/>
  <c r="J310" i="21" s="1"/>
  <c r="C53" i="20"/>
  <c r="K318" i="23"/>
  <c r="K285" i="19"/>
  <c r="K286" i="19" s="1"/>
  <c r="L258" i="23"/>
  <c r="H50" i="23" s="1"/>
  <c r="H103" i="23" s="1"/>
  <c r="N258" i="23"/>
  <c r="L98" i="23"/>
  <c r="G118" i="23"/>
  <c r="K198" i="23"/>
  <c r="L253" i="19"/>
  <c r="H44" i="19" s="1"/>
  <c r="H116" i="19" s="1"/>
  <c r="K254" i="19"/>
  <c r="N253" i="19"/>
  <c r="L378" i="23"/>
  <c r="H70" i="23" s="1"/>
  <c r="H123" i="23" s="1"/>
  <c r="N378" i="23"/>
  <c r="K230" i="21"/>
  <c r="C246" i="21" s="1"/>
  <c r="G160" i="21" s="1"/>
  <c r="D34" i="5" s="1"/>
  <c r="L227" i="21"/>
  <c r="G42" i="21" s="1"/>
  <c r="K229" i="21"/>
  <c r="N227" i="21"/>
  <c r="N487" i="19"/>
  <c r="K197" i="23"/>
  <c r="K199" i="23" s="1"/>
  <c r="G123" i="23"/>
  <c r="K427" i="21"/>
  <c r="I430" i="21"/>
  <c r="J430" i="21" s="1"/>
  <c r="G496" i="19"/>
  <c r="E28" i="6"/>
  <c r="K347" i="21"/>
  <c r="I390" i="21"/>
  <c r="J390" i="21" s="1"/>
  <c r="K387" i="21" s="1"/>
  <c r="H332" i="19"/>
  <c r="H334" i="19"/>
  <c r="I334" i="19" s="1"/>
  <c r="H333" i="19"/>
  <c r="H335" i="19"/>
  <c r="I335" i="19" s="1"/>
  <c r="N317" i="23"/>
  <c r="K259" i="23"/>
  <c r="L45" i="23"/>
  <c r="D27" i="6"/>
  <c r="K76" i="20"/>
  <c r="E38" i="20" s="1"/>
  <c r="M76" i="20"/>
  <c r="F84" i="20" s="1"/>
  <c r="E21" i="6"/>
  <c r="F82" i="20"/>
  <c r="L284" i="19"/>
  <c r="G50" i="19" s="1"/>
  <c r="I190" i="21"/>
  <c r="J190" i="21" s="1"/>
  <c r="K75" i="20"/>
  <c r="D38" i="20" s="1"/>
  <c r="M75" i="20"/>
  <c r="F83" i="20" s="1"/>
  <c r="I270" i="21"/>
  <c r="J270" i="21" s="1"/>
  <c r="L289" i="23"/>
  <c r="I55" i="23" s="1"/>
  <c r="I108" i="23" s="1"/>
  <c r="L108" i="23" s="1"/>
  <c r="N289" i="23"/>
  <c r="N290" i="23" s="1"/>
  <c r="L348" i="23"/>
  <c r="H65" i="23" s="1"/>
  <c r="H118" i="23" s="1"/>
  <c r="N348" i="23"/>
  <c r="N350" i="23" s="1"/>
  <c r="G116" i="19"/>
  <c r="I416" i="19"/>
  <c r="J416" i="19" s="1"/>
  <c r="I333" i="19"/>
  <c r="G336" i="19"/>
  <c r="K379" i="23"/>
  <c r="K364" i="19"/>
  <c r="E24" i="6"/>
  <c r="G103" i="23"/>
  <c r="L199" i="23" l="1"/>
  <c r="I40" i="23" s="1"/>
  <c r="N199" i="23"/>
  <c r="L286" i="19"/>
  <c r="I50" i="19" s="1"/>
  <c r="N286" i="19"/>
  <c r="G294" i="19" s="1"/>
  <c r="K287" i="19"/>
  <c r="C303" i="19" s="1"/>
  <c r="G177" i="19" s="1"/>
  <c r="L387" i="21"/>
  <c r="G70" i="21" s="1"/>
  <c r="N387" i="21"/>
  <c r="L364" i="19"/>
  <c r="G64" i="19" s="1"/>
  <c r="N364" i="19"/>
  <c r="M77" i="20"/>
  <c r="L259" i="23"/>
  <c r="I50" i="23" s="1"/>
  <c r="N259" i="23"/>
  <c r="N260" i="23" s="1"/>
  <c r="H336" i="19"/>
  <c r="I332" i="19"/>
  <c r="L427" i="21"/>
  <c r="G77" i="21" s="1"/>
  <c r="N380" i="23"/>
  <c r="L198" i="23"/>
  <c r="H40" i="23" s="1"/>
  <c r="N198" i="23"/>
  <c r="L255" i="19"/>
  <c r="J44" i="19" s="1"/>
  <c r="J116" i="19" s="1"/>
  <c r="N255" i="19"/>
  <c r="L379" i="23"/>
  <c r="I70" i="23" s="1"/>
  <c r="N379" i="23"/>
  <c r="D53" i="20"/>
  <c r="G122" i="19"/>
  <c r="F86" i="20"/>
  <c r="K350" i="21"/>
  <c r="C366" i="21" s="1"/>
  <c r="G163" i="21" s="1"/>
  <c r="D37" i="5" s="1"/>
  <c r="L347" i="21"/>
  <c r="G63" i="21" s="1"/>
  <c r="N347" i="21"/>
  <c r="N230" i="21"/>
  <c r="G235" i="21"/>
  <c r="L55" i="23"/>
  <c r="G456" i="19"/>
  <c r="J38" i="20"/>
  <c r="I150" i="19"/>
  <c r="N78" i="19"/>
  <c r="K365" i="19"/>
  <c r="D34" i="6"/>
  <c r="D143" i="5"/>
  <c r="L318" i="23"/>
  <c r="H60" i="23" s="1"/>
  <c r="H113" i="23" s="1"/>
  <c r="N318" i="23"/>
  <c r="K260" i="23"/>
  <c r="C267" i="23" s="1"/>
  <c r="K389" i="21"/>
  <c r="K390" i="21" s="1"/>
  <c r="C406" i="21" s="1"/>
  <c r="G164" i="21" s="1"/>
  <c r="D38" i="5" s="1"/>
  <c r="K388" i="21"/>
  <c r="K428" i="21"/>
  <c r="K429" i="21" s="1"/>
  <c r="L229" i="21"/>
  <c r="I42" i="21" s="1"/>
  <c r="I106" i="21" s="1"/>
  <c r="N229" i="21"/>
  <c r="G237" i="21" s="1"/>
  <c r="K348" i="21"/>
  <c r="L118" i="23"/>
  <c r="L285" i="19"/>
  <c r="H50" i="19" s="1"/>
  <c r="N285" i="19"/>
  <c r="K366" i="19"/>
  <c r="G113" i="23"/>
  <c r="D146" i="6"/>
  <c r="E30" i="6"/>
  <c r="E146" i="6" s="1"/>
  <c r="K188" i="21"/>
  <c r="E27" i="6"/>
  <c r="H492" i="19"/>
  <c r="H493" i="19"/>
  <c r="I493" i="19" s="1"/>
  <c r="H495" i="19"/>
  <c r="I495" i="19" s="1"/>
  <c r="H494" i="19"/>
  <c r="I494" i="19" s="1"/>
  <c r="K413" i="19"/>
  <c r="K412" i="19"/>
  <c r="K414" i="19" s="1"/>
  <c r="K380" i="23"/>
  <c r="C387" i="23" s="1"/>
  <c r="K267" i="21"/>
  <c r="K187" i="21"/>
  <c r="K189" i="21" s="1"/>
  <c r="N447" i="19"/>
  <c r="E53" i="20"/>
  <c r="N427" i="21"/>
  <c r="K200" i="23"/>
  <c r="C207" i="23" s="1"/>
  <c r="L197" i="23"/>
  <c r="G40" i="23" s="1"/>
  <c r="N197" i="23"/>
  <c r="G106" i="21"/>
  <c r="L254" i="19"/>
  <c r="I44" i="19" s="1"/>
  <c r="I116" i="19" s="1"/>
  <c r="N116" i="19" s="1"/>
  <c r="N254" i="19"/>
  <c r="N256" i="19" s="1"/>
  <c r="K256" i="19"/>
  <c r="C264" i="19" s="1"/>
  <c r="K349" i="21"/>
  <c r="L65" i="23"/>
  <c r="K319" i="23"/>
  <c r="K320" i="23" s="1"/>
  <c r="C327" i="23" s="1"/>
  <c r="K307" i="21"/>
  <c r="N157" i="19"/>
  <c r="K212" i="19"/>
  <c r="I216" i="19"/>
  <c r="J216" i="19" s="1"/>
  <c r="L429" i="21" l="1"/>
  <c r="I77" i="21" s="1"/>
  <c r="I141" i="21" s="1"/>
  <c r="N429" i="21"/>
  <c r="G437" i="21" s="1"/>
  <c r="K430" i="21"/>
  <c r="C446" i="21" s="1"/>
  <c r="G165" i="21" s="1"/>
  <c r="D39" i="5" s="1"/>
  <c r="D38" i="6"/>
  <c r="D149" i="5"/>
  <c r="L414" i="19"/>
  <c r="I72" i="19" s="1"/>
  <c r="I144" i="19" s="1"/>
  <c r="N414" i="19"/>
  <c r="L189" i="21"/>
  <c r="I35" i="21" s="1"/>
  <c r="N189" i="21"/>
  <c r="G197" i="21" s="1"/>
  <c r="L307" i="21"/>
  <c r="G56" i="21" s="1"/>
  <c r="N307" i="21"/>
  <c r="L267" i="21"/>
  <c r="G49" i="21" s="1"/>
  <c r="N267" i="21"/>
  <c r="L188" i="21"/>
  <c r="H35" i="21" s="1"/>
  <c r="N188" i="21"/>
  <c r="G196" i="21" s="1"/>
  <c r="D37" i="6"/>
  <c r="D148" i="5"/>
  <c r="I123" i="23"/>
  <c r="L123" i="23" s="1"/>
  <c r="L70" i="23"/>
  <c r="I103" i="23"/>
  <c r="L103" i="23" s="1"/>
  <c r="L50" i="23"/>
  <c r="G136" i="19"/>
  <c r="I122" i="19"/>
  <c r="L349" i="21"/>
  <c r="I63" i="21" s="1"/>
  <c r="I127" i="21" s="1"/>
  <c r="N349" i="21"/>
  <c r="G357" i="21" s="1"/>
  <c r="N106" i="21"/>
  <c r="K415" i="19"/>
  <c r="H496" i="19"/>
  <c r="I492" i="19"/>
  <c r="L365" i="19"/>
  <c r="H64" i="19" s="1"/>
  <c r="H136" i="19" s="1"/>
  <c r="N365" i="19"/>
  <c r="G373" i="19" s="1"/>
  <c r="G95" i="19"/>
  <c r="G97" i="19" s="1"/>
  <c r="H93" i="23"/>
  <c r="H130" i="23" s="1"/>
  <c r="H77" i="23"/>
  <c r="K332" i="19"/>
  <c r="I336" i="19"/>
  <c r="J336" i="19" s="1"/>
  <c r="G83" i="20"/>
  <c r="H83" i="20" s="1"/>
  <c r="G82" i="20"/>
  <c r="G84" i="20"/>
  <c r="H84" i="20" s="1"/>
  <c r="G85" i="20"/>
  <c r="H85" i="20" s="1"/>
  <c r="K367" i="19"/>
  <c r="C383" i="19" s="1"/>
  <c r="G179" i="19" s="1"/>
  <c r="D25" i="5" s="1"/>
  <c r="G134" i="21"/>
  <c r="L212" i="19"/>
  <c r="G37" i="19" s="1"/>
  <c r="L40" i="23"/>
  <c r="G93" i="23"/>
  <c r="G77" i="23"/>
  <c r="H122" i="19"/>
  <c r="H95" i="19"/>
  <c r="H97" i="19" s="1"/>
  <c r="L389" i="21"/>
  <c r="I70" i="21" s="1"/>
  <c r="I134" i="21" s="1"/>
  <c r="N389" i="21"/>
  <c r="G397" i="21" s="1"/>
  <c r="L38" i="20"/>
  <c r="N42" i="21"/>
  <c r="H453" i="19"/>
  <c r="I453" i="19" s="1"/>
  <c r="H455" i="19"/>
  <c r="I455" i="19" s="1"/>
  <c r="H454" i="19"/>
  <c r="I454" i="19" s="1"/>
  <c r="H452" i="19"/>
  <c r="E179" i="6"/>
  <c r="E153" i="6"/>
  <c r="C22" i="4"/>
  <c r="C29" i="4" s="1"/>
  <c r="L366" i="19"/>
  <c r="I64" i="19" s="1"/>
  <c r="I136" i="19" s="1"/>
  <c r="N366" i="19"/>
  <c r="G374" i="19" s="1"/>
  <c r="L348" i="21"/>
  <c r="H63" i="21" s="1"/>
  <c r="H127" i="21" s="1"/>
  <c r="N348" i="21"/>
  <c r="G356" i="21" s="1"/>
  <c r="L428" i="21"/>
  <c r="H77" i="21" s="1"/>
  <c r="H141" i="21" s="1"/>
  <c r="N428" i="21"/>
  <c r="G436" i="21" s="1"/>
  <c r="N44" i="19"/>
  <c r="G355" i="21"/>
  <c r="N122" i="19"/>
  <c r="G166" i="19"/>
  <c r="G168" i="19" s="1"/>
  <c r="K268" i="21"/>
  <c r="D23" i="5"/>
  <c r="G184" i="19"/>
  <c r="L413" i="19"/>
  <c r="H72" i="19" s="1"/>
  <c r="H144" i="19" s="1"/>
  <c r="N413" i="19"/>
  <c r="K308" i="21"/>
  <c r="H236" i="21"/>
  <c r="I236" i="21" s="1"/>
  <c r="H237" i="21"/>
  <c r="H235" i="21"/>
  <c r="H238" i="21"/>
  <c r="I238" i="21" s="1"/>
  <c r="N212" i="19"/>
  <c r="J53" i="20"/>
  <c r="G435" i="21"/>
  <c r="K416" i="19"/>
  <c r="C424" i="19" s="1"/>
  <c r="L412" i="19"/>
  <c r="G72" i="19" s="1"/>
  <c r="N412" i="19"/>
  <c r="K213" i="19"/>
  <c r="K214" i="19" s="1"/>
  <c r="L319" i="23"/>
  <c r="I60" i="23" s="1"/>
  <c r="N319" i="23"/>
  <c r="N320" i="23" s="1"/>
  <c r="N200" i="23"/>
  <c r="L187" i="21"/>
  <c r="G35" i="21" s="1"/>
  <c r="K190" i="21"/>
  <c r="C206" i="21" s="1"/>
  <c r="G159" i="21" s="1"/>
  <c r="N187" i="21"/>
  <c r="D153" i="6"/>
  <c r="B22" i="4"/>
  <c r="B29" i="4" s="1"/>
  <c r="G293" i="19"/>
  <c r="N287" i="19"/>
  <c r="I237" i="21"/>
  <c r="L388" i="21"/>
  <c r="H70" i="21" s="1"/>
  <c r="H134" i="21" s="1"/>
  <c r="N388" i="21"/>
  <c r="G396" i="21" s="1"/>
  <c r="E34" i="6"/>
  <c r="E143" i="6" s="1"/>
  <c r="D143" i="6"/>
  <c r="B19" i="4" s="1"/>
  <c r="N150" i="19"/>
  <c r="I235" i="21"/>
  <c r="G239" i="21"/>
  <c r="N63" i="21"/>
  <c r="G127" i="21"/>
  <c r="N50" i="19"/>
  <c r="K269" i="21"/>
  <c r="N77" i="21"/>
  <c r="G141" i="21"/>
  <c r="G372" i="19"/>
  <c r="N367" i="19"/>
  <c r="G395" i="21"/>
  <c r="N390" i="21"/>
  <c r="I93" i="23"/>
  <c r="I77" i="23"/>
  <c r="L214" i="19" l="1"/>
  <c r="I37" i="19" s="1"/>
  <c r="N214" i="19"/>
  <c r="H372" i="19"/>
  <c r="H374" i="19"/>
  <c r="H375" i="19"/>
  <c r="I375" i="19" s="1"/>
  <c r="H373" i="19"/>
  <c r="D33" i="5"/>
  <c r="K215" i="19"/>
  <c r="G144" i="19"/>
  <c r="H239" i="21"/>
  <c r="G109" i="19"/>
  <c r="K333" i="19"/>
  <c r="I496" i="19"/>
  <c r="J496" i="19" s="1"/>
  <c r="K492" i="19" s="1"/>
  <c r="I95" i="19"/>
  <c r="I97" i="19" s="1"/>
  <c r="G275" i="21"/>
  <c r="L269" i="21"/>
  <c r="I49" i="21" s="1"/>
  <c r="I113" i="21" s="1"/>
  <c r="N269" i="21"/>
  <c r="G277" i="21" s="1"/>
  <c r="I372" i="19"/>
  <c r="G376" i="19"/>
  <c r="E172" i="6"/>
  <c r="C19" i="4"/>
  <c r="G86" i="21"/>
  <c r="G88" i="21" s="1"/>
  <c r="N35" i="21"/>
  <c r="G99" i="21"/>
  <c r="D144" i="5"/>
  <c r="D23" i="6"/>
  <c r="I374" i="19"/>
  <c r="H166" i="19"/>
  <c r="H168" i="19" s="1"/>
  <c r="L93" i="23"/>
  <c r="G130" i="23"/>
  <c r="N134" i="21"/>
  <c r="L332" i="19"/>
  <c r="G58" i="19" s="1"/>
  <c r="I166" i="19"/>
  <c r="I168" i="19" s="1"/>
  <c r="E37" i="6"/>
  <c r="E148" i="6" s="1"/>
  <c r="D148" i="6"/>
  <c r="B24" i="4" s="1"/>
  <c r="G113" i="21"/>
  <c r="G120" i="21"/>
  <c r="D39" i="6"/>
  <c r="D150" i="5"/>
  <c r="I130" i="23"/>
  <c r="K235" i="21"/>
  <c r="K236" i="21" s="1"/>
  <c r="I239" i="21"/>
  <c r="J239" i="21" s="1"/>
  <c r="H293" i="19"/>
  <c r="H294" i="19"/>
  <c r="I294" i="19" s="1"/>
  <c r="H292" i="19"/>
  <c r="H295" i="19"/>
  <c r="I295" i="19" s="1"/>
  <c r="I113" i="23"/>
  <c r="L113" i="23" s="1"/>
  <c r="L60" i="23"/>
  <c r="L308" i="21"/>
  <c r="H56" i="21" s="1"/>
  <c r="H120" i="21" s="1"/>
  <c r="N308" i="21"/>
  <c r="G316" i="21" s="1"/>
  <c r="H396" i="21"/>
  <c r="H397" i="21"/>
  <c r="H398" i="21"/>
  <c r="I398" i="21" s="1"/>
  <c r="H395" i="21"/>
  <c r="N141" i="21"/>
  <c r="N127" i="21"/>
  <c r="I396" i="21"/>
  <c r="I293" i="19"/>
  <c r="G296" i="19"/>
  <c r="N430" i="21"/>
  <c r="L268" i="21"/>
  <c r="H49" i="21" s="1"/>
  <c r="H113" i="21" s="1"/>
  <c r="N268" i="21"/>
  <c r="G276" i="21" s="1"/>
  <c r="N350" i="21"/>
  <c r="I397" i="21"/>
  <c r="L77" i="23"/>
  <c r="N70" i="21"/>
  <c r="G86" i="20"/>
  <c r="H82" i="20"/>
  <c r="N332" i="19"/>
  <c r="I373" i="19"/>
  <c r="K309" i="21"/>
  <c r="N136" i="19"/>
  <c r="N166" i="19" s="1"/>
  <c r="N168" i="19" s="1"/>
  <c r="K270" i="21"/>
  <c r="C286" i="21" s="1"/>
  <c r="G161" i="21" s="1"/>
  <c r="D35" i="5" s="1"/>
  <c r="I395" i="21"/>
  <c r="G399" i="21"/>
  <c r="G195" i="21"/>
  <c r="N190" i="21"/>
  <c r="L213" i="19"/>
  <c r="H37" i="19" s="1"/>
  <c r="N213" i="19"/>
  <c r="G439" i="21"/>
  <c r="G359" i="21"/>
  <c r="H456" i="19"/>
  <c r="I452" i="19"/>
  <c r="K216" i="19"/>
  <c r="C224" i="19" s="1"/>
  <c r="D25" i="6"/>
  <c r="L415" i="19"/>
  <c r="J72" i="19" s="1"/>
  <c r="J144" i="19" s="1"/>
  <c r="N415" i="19"/>
  <c r="N416" i="19" s="1"/>
  <c r="N64" i="19"/>
  <c r="N95" i="19" s="1"/>
  <c r="N97" i="19" s="1"/>
  <c r="H86" i="21"/>
  <c r="H88" i="21" s="1"/>
  <c r="H99" i="21"/>
  <c r="G315" i="21"/>
  <c r="I99" i="21"/>
  <c r="E38" i="6"/>
  <c r="E149" i="6" s="1"/>
  <c r="D149" i="6"/>
  <c r="B25" i="4" s="1"/>
  <c r="L236" i="21" l="1"/>
  <c r="H43" i="21" s="1"/>
  <c r="H107" i="21" s="1"/>
  <c r="N236" i="21"/>
  <c r="L492" i="19"/>
  <c r="G86" i="19" s="1"/>
  <c r="N492" i="19"/>
  <c r="K237" i="21"/>
  <c r="K238" i="21" s="1"/>
  <c r="C25" i="4"/>
  <c r="E177" i="6"/>
  <c r="H150" i="21"/>
  <c r="H152" i="21" s="1"/>
  <c r="H109" i="19"/>
  <c r="D35" i="6"/>
  <c r="D145" i="5"/>
  <c r="J82" i="20"/>
  <c r="H86" i="20"/>
  <c r="I86" i="20" s="1"/>
  <c r="M82" i="20"/>
  <c r="H296" i="19"/>
  <c r="I292" i="19"/>
  <c r="N113" i="21"/>
  <c r="L130" i="23"/>
  <c r="E23" i="6"/>
  <c r="E144" i="6" s="1"/>
  <c r="D144" i="6"/>
  <c r="B20" i="4" s="1"/>
  <c r="N270" i="21"/>
  <c r="K334" i="19"/>
  <c r="K335" i="19" s="1"/>
  <c r="N37" i="19"/>
  <c r="L215" i="19"/>
  <c r="J37" i="19" s="1"/>
  <c r="N215" i="19"/>
  <c r="N216" i="19" s="1"/>
  <c r="H376" i="19"/>
  <c r="K452" i="19"/>
  <c r="N452" i="19" s="1"/>
  <c r="I456" i="19"/>
  <c r="J456" i="19" s="1"/>
  <c r="L309" i="21"/>
  <c r="I56" i="21" s="1"/>
  <c r="N309" i="21"/>
  <c r="H358" i="21"/>
  <c r="I358" i="21" s="1"/>
  <c r="H355" i="21"/>
  <c r="H356" i="21"/>
  <c r="I356" i="21" s="1"/>
  <c r="H357" i="21"/>
  <c r="I357" i="21" s="1"/>
  <c r="L235" i="21"/>
  <c r="G43" i="21" s="1"/>
  <c r="E39" i="6"/>
  <c r="E150" i="6" s="1"/>
  <c r="D150" i="6"/>
  <c r="B26" i="4" s="1"/>
  <c r="N49" i="21"/>
  <c r="K372" i="19"/>
  <c r="K373" i="19" s="1"/>
  <c r="I376" i="19"/>
  <c r="J376" i="19" s="1"/>
  <c r="N372" i="19"/>
  <c r="G279" i="21"/>
  <c r="D33" i="6"/>
  <c r="D142" i="5"/>
  <c r="E25" i="6"/>
  <c r="H198" i="21"/>
  <c r="I198" i="21" s="1"/>
  <c r="H197" i="21"/>
  <c r="I197" i="21" s="1"/>
  <c r="H196" i="21"/>
  <c r="I196" i="21" s="1"/>
  <c r="H195" i="21"/>
  <c r="I399" i="21"/>
  <c r="J399" i="21" s="1"/>
  <c r="G199" i="21"/>
  <c r="H435" i="21"/>
  <c r="H438" i="21"/>
  <c r="I438" i="21" s="1"/>
  <c r="H437" i="21"/>
  <c r="I437" i="21" s="1"/>
  <c r="H436" i="21"/>
  <c r="I436" i="21" s="1"/>
  <c r="H399" i="21"/>
  <c r="G130" i="19"/>
  <c r="N144" i="19"/>
  <c r="I109" i="19"/>
  <c r="N235" i="21"/>
  <c r="E176" i="6"/>
  <c r="C24" i="4"/>
  <c r="N99" i="21"/>
  <c r="G150" i="21"/>
  <c r="K493" i="19"/>
  <c r="L333" i="19"/>
  <c r="H58" i="19" s="1"/>
  <c r="H130" i="19" s="1"/>
  <c r="N333" i="19"/>
  <c r="N72" i="19"/>
  <c r="K310" i="21"/>
  <c r="C326" i="21" s="1"/>
  <c r="G162" i="21" s="1"/>
  <c r="D36" i="5" s="1"/>
  <c r="L238" i="21" l="1"/>
  <c r="J43" i="21" s="1"/>
  <c r="J107" i="21" s="1"/>
  <c r="N238" i="21"/>
  <c r="K239" i="21"/>
  <c r="C247" i="21" s="1"/>
  <c r="L373" i="19"/>
  <c r="H65" i="19" s="1"/>
  <c r="H137" i="19" s="1"/>
  <c r="N373" i="19"/>
  <c r="K374" i="19"/>
  <c r="K375" i="19" s="1"/>
  <c r="L335" i="19"/>
  <c r="J58" i="19" s="1"/>
  <c r="J130" i="19" s="1"/>
  <c r="N335" i="19"/>
  <c r="G167" i="21"/>
  <c r="K494" i="19"/>
  <c r="K495" i="19" s="1"/>
  <c r="H199" i="21"/>
  <c r="H359" i="21"/>
  <c r="I355" i="21"/>
  <c r="H276" i="21"/>
  <c r="I276" i="21" s="1"/>
  <c r="H277" i="21"/>
  <c r="I277" i="21" s="1"/>
  <c r="H278" i="21"/>
  <c r="I278" i="21" s="1"/>
  <c r="H275" i="21"/>
  <c r="K82" i="20"/>
  <c r="C39" i="20" s="1"/>
  <c r="K395" i="21"/>
  <c r="G107" i="21"/>
  <c r="K453" i="19"/>
  <c r="J109" i="19"/>
  <c r="D36" i="6"/>
  <c r="D147" i="5"/>
  <c r="D152" i="5" s="1"/>
  <c r="D154" i="5" s="1"/>
  <c r="G317" i="21"/>
  <c r="N310" i="21"/>
  <c r="E35" i="6"/>
  <c r="E145" i="6" s="1"/>
  <c r="D145" i="6"/>
  <c r="B21" i="4" s="1"/>
  <c r="L493" i="19"/>
  <c r="H86" i="19" s="1"/>
  <c r="H158" i="19" s="1"/>
  <c r="N493" i="19"/>
  <c r="L452" i="19"/>
  <c r="G79" i="19" s="1"/>
  <c r="H439" i="21"/>
  <c r="I435" i="21"/>
  <c r="I195" i="21"/>
  <c r="E33" i="6"/>
  <c r="E142" i="6" s="1"/>
  <c r="D142" i="6"/>
  <c r="B18" i="4" s="1"/>
  <c r="E178" i="6"/>
  <c r="C26" i="4"/>
  <c r="I120" i="21"/>
  <c r="N56" i="21"/>
  <c r="N86" i="21" s="1"/>
  <c r="N88" i="21" s="1"/>
  <c r="I86" i="21"/>
  <c r="I88" i="21" s="1"/>
  <c r="L334" i="19"/>
  <c r="I58" i="19" s="1"/>
  <c r="N334" i="19"/>
  <c r="N336" i="19" s="1"/>
  <c r="K336" i="19"/>
  <c r="C344" i="19" s="1"/>
  <c r="C20" i="4"/>
  <c r="E173" i="6"/>
  <c r="K292" i="19"/>
  <c r="I296" i="19"/>
  <c r="J296" i="19" s="1"/>
  <c r="J84" i="20"/>
  <c r="J85" i="20" s="1"/>
  <c r="J83" i="20"/>
  <c r="G158" i="19"/>
  <c r="G152" i="21"/>
  <c r="L372" i="19"/>
  <c r="G65" i="19" s="1"/>
  <c r="L237" i="21"/>
  <c r="I43" i="21" s="1"/>
  <c r="I107" i="21" s="1"/>
  <c r="N237" i="21"/>
  <c r="N239" i="21" s="1"/>
  <c r="J86" i="20" l="1"/>
  <c r="B94" i="20" s="1"/>
  <c r="L495" i="19"/>
  <c r="J86" i="19" s="1"/>
  <c r="J158" i="19" s="1"/>
  <c r="N495" i="19"/>
  <c r="K496" i="19"/>
  <c r="C504" i="19" s="1"/>
  <c r="L375" i="19"/>
  <c r="J65" i="19" s="1"/>
  <c r="J137" i="19" s="1"/>
  <c r="N375" i="19"/>
  <c r="K376" i="19"/>
  <c r="C384" i="19" s="1"/>
  <c r="K85" i="20"/>
  <c r="F39" i="20" s="1"/>
  <c r="M85" i="20"/>
  <c r="G137" i="19"/>
  <c r="L292" i="19"/>
  <c r="G51" i="19" s="1"/>
  <c r="I150" i="21"/>
  <c r="N120" i="21"/>
  <c r="I130" i="19"/>
  <c r="N130" i="19" s="1"/>
  <c r="N58" i="19"/>
  <c r="I199" i="21"/>
  <c r="J199" i="21" s="1"/>
  <c r="G151" i="19"/>
  <c r="K454" i="19"/>
  <c r="K455" i="19" s="1"/>
  <c r="N43" i="21"/>
  <c r="L395" i="21"/>
  <c r="G71" i="21" s="1"/>
  <c r="N395" i="21"/>
  <c r="C40" i="20"/>
  <c r="C28" i="20" s="1"/>
  <c r="C54" i="20"/>
  <c r="K396" i="21"/>
  <c r="K397" i="21" s="1"/>
  <c r="I439" i="21"/>
  <c r="J439" i="21" s="1"/>
  <c r="K435" i="21" s="1"/>
  <c r="K84" i="20"/>
  <c r="E39" i="20" s="1"/>
  <c r="M84" i="20"/>
  <c r="N292" i="19"/>
  <c r="E171" i="6"/>
  <c r="E152" i="6"/>
  <c r="E154" i="6" s="1"/>
  <c r="C18" i="4"/>
  <c r="K83" i="20"/>
  <c r="D39" i="20" s="1"/>
  <c r="M83" i="20"/>
  <c r="M86" i="20" s="1"/>
  <c r="K294" i="19"/>
  <c r="K293" i="19"/>
  <c r="K295" i="19"/>
  <c r="H317" i="21"/>
  <c r="H318" i="21"/>
  <c r="I318" i="21" s="1"/>
  <c r="H315" i="21"/>
  <c r="H316" i="21"/>
  <c r="I316" i="21" s="1"/>
  <c r="H279" i="21"/>
  <c r="I275" i="21"/>
  <c r="I359" i="21"/>
  <c r="J359" i="21" s="1"/>
  <c r="C21" i="4"/>
  <c r="E174" i="6"/>
  <c r="I317" i="21"/>
  <c r="G319" i="21"/>
  <c r="E36" i="6"/>
  <c r="E147" i="6" s="1"/>
  <c r="D147" i="6"/>
  <c r="L453" i="19"/>
  <c r="H79" i="19" s="1"/>
  <c r="H151" i="19" s="1"/>
  <c r="N453" i="19"/>
  <c r="N107" i="21"/>
  <c r="L494" i="19"/>
  <c r="I86" i="19" s="1"/>
  <c r="N494" i="19"/>
  <c r="N496" i="19" s="1"/>
  <c r="L374" i="19"/>
  <c r="I65" i="19" s="1"/>
  <c r="I137" i="19" s="1"/>
  <c r="N374" i="19"/>
  <c r="N376" i="19" s="1"/>
  <c r="N109" i="19"/>
  <c r="L435" i="21" l="1"/>
  <c r="G78" i="21" s="1"/>
  <c r="N435" i="21"/>
  <c r="L397" i="21"/>
  <c r="I71" i="21" s="1"/>
  <c r="I135" i="21" s="1"/>
  <c r="N397" i="21"/>
  <c r="L455" i="19"/>
  <c r="J79" i="19" s="1"/>
  <c r="J151" i="19" s="1"/>
  <c r="N455" i="19"/>
  <c r="I279" i="21"/>
  <c r="J279" i="21" s="1"/>
  <c r="L294" i="19"/>
  <c r="I51" i="19" s="1"/>
  <c r="N294" i="19"/>
  <c r="E40" i="20"/>
  <c r="E28" i="20" s="1"/>
  <c r="E54" i="20"/>
  <c r="E170" i="6"/>
  <c r="E169" i="6" s="1"/>
  <c r="K398" i="21"/>
  <c r="N65" i="19"/>
  <c r="D40" i="20"/>
  <c r="D28" i="20" s="1"/>
  <c r="D54" i="20"/>
  <c r="J54" i="20" s="1"/>
  <c r="N51" i="19"/>
  <c r="G123" i="19"/>
  <c r="G96" i="19"/>
  <c r="L295" i="19"/>
  <c r="J51" i="19" s="1"/>
  <c r="N295" i="19"/>
  <c r="L396" i="21"/>
  <c r="H71" i="21" s="1"/>
  <c r="H135" i="21" s="1"/>
  <c r="N396" i="21"/>
  <c r="L454" i="19"/>
  <c r="I79" i="19" s="1"/>
  <c r="I151" i="19" s="1"/>
  <c r="N454" i="19"/>
  <c r="N456" i="19" s="1"/>
  <c r="K456" i="19"/>
  <c r="C464" i="19" s="1"/>
  <c r="C23" i="4"/>
  <c r="C28" i="4" s="1"/>
  <c r="C30" i="4" s="1"/>
  <c r="C31" i="4" s="1"/>
  <c r="E175" i="6"/>
  <c r="K355" i="21"/>
  <c r="K356" i="21" s="1"/>
  <c r="H319" i="21"/>
  <c r="I315" i="21"/>
  <c r="L293" i="19"/>
  <c r="H51" i="19" s="1"/>
  <c r="N293" i="19"/>
  <c r="N296" i="19" s="1"/>
  <c r="J39" i="20"/>
  <c r="G135" i="21"/>
  <c r="K195" i="21"/>
  <c r="K196" i="21" s="1"/>
  <c r="K296" i="19"/>
  <c r="C304" i="19" s="1"/>
  <c r="B23" i="4"/>
  <c r="B28" i="4" s="1"/>
  <c r="B30" i="4" s="1"/>
  <c r="B31" i="4" s="1"/>
  <c r="D152" i="6"/>
  <c r="D154" i="6" s="1"/>
  <c r="I158" i="19"/>
  <c r="N158" i="19" s="1"/>
  <c r="N86" i="19"/>
  <c r="K437" i="21"/>
  <c r="K439" i="21" s="1"/>
  <c r="C447" i="21" s="1"/>
  <c r="K436" i="21"/>
  <c r="K438" i="21"/>
  <c r="K399" i="21"/>
  <c r="C407" i="21" s="1"/>
  <c r="N151" i="19"/>
  <c r="I152" i="21"/>
  <c r="N150" i="21"/>
  <c r="N152" i="21" s="1"/>
  <c r="N137" i="19"/>
  <c r="F40" i="20"/>
  <c r="F28" i="20" s="1"/>
  <c r="F54" i="20"/>
  <c r="L196" i="21" l="1"/>
  <c r="H36" i="21" s="1"/>
  <c r="N196" i="21"/>
  <c r="L356" i="21"/>
  <c r="H64" i="21" s="1"/>
  <c r="H128" i="21" s="1"/>
  <c r="N356" i="21"/>
  <c r="L438" i="21"/>
  <c r="J78" i="21" s="1"/>
  <c r="J142" i="21" s="1"/>
  <c r="N438" i="21"/>
  <c r="I319" i="21"/>
  <c r="J319" i="21" s="1"/>
  <c r="K197" i="21"/>
  <c r="L398" i="21"/>
  <c r="J71" i="21" s="1"/>
  <c r="N398" i="21"/>
  <c r="N399" i="21" s="1"/>
  <c r="I123" i="19"/>
  <c r="I167" i="19" s="1"/>
  <c r="I96" i="19"/>
  <c r="L436" i="21"/>
  <c r="H78" i="21" s="1"/>
  <c r="H142" i="21" s="1"/>
  <c r="N436" i="21"/>
  <c r="L39" i="20"/>
  <c r="L40" i="20" s="1"/>
  <c r="J40" i="20"/>
  <c r="J28" i="20" s="1"/>
  <c r="G167" i="19"/>
  <c r="K276" i="21"/>
  <c r="L437" i="21"/>
  <c r="I78" i="21" s="1"/>
  <c r="I142" i="21" s="1"/>
  <c r="N437" i="21"/>
  <c r="N439" i="21" s="1"/>
  <c r="L195" i="21"/>
  <c r="G36" i="21" s="1"/>
  <c r="N195" i="21"/>
  <c r="L355" i="21"/>
  <c r="G64" i="21" s="1"/>
  <c r="N355" i="21"/>
  <c r="N96" i="19"/>
  <c r="H123" i="19"/>
  <c r="H167" i="19" s="1"/>
  <c r="H96" i="19"/>
  <c r="K357" i="21"/>
  <c r="N79" i="19"/>
  <c r="K275" i="21"/>
  <c r="N78" i="21"/>
  <c r="G142" i="21"/>
  <c r="N142" i="21" s="1"/>
  <c r="J123" i="19"/>
  <c r="J167" i="19" s="1"/>
  <c r="J96" i="19"/>
  <c r="K199" i="21" l="1"/>
  <c r="C207" i="21" s="1"/>
  <c r="G100" i="21"/>
  <c r="K198" i="21"/>
  <c r="G128" i="21"/>
  <c r="N123" i="19"/>
  <c r="N167" i="19" s="1"/>
  <c r="J135" i="21"/>
  <c r="N135" i="21" s="1"/>
  <c r="N71" i="21"/>
  <c r="L197" i="21"/>
  <c r="I36" i="21" s="1"/>
  <c r="N197" i="21"/>
  <c r="L357" i="21"/>
  <c r="I64" i="21" s="1"/>
  <c r="I128" i="21" s="1"/>
  <c r="N357" i="21"/>
  <c r="L276" i="21"/>
  <c r="H50" i="21" s="1"/>
  <c r="H114" i="21" s="1"/>
  <c r="N276" i="21"/>
  <c r="L275" i="21"/>
  <c r="G50" i="21" s="1"/>
  <c r="N275" i="21"/>
  <c r="K358" i="21"/>
  <c r="K277" i="21"/>
  <c r="K315" i="21"/>
  <c r="H100" i="21"/>
  <c r="L358" i="21" l="1"/>
  <c r="J64" i="21" s="1"/>
  <c r="J128" i="21" s="1"/>
  <c r="N358" i="21"/>
  <c r="N359" i="21" s="1"/>
  <c r="L315" i="21"/>
  <c r="G57" i="21" s="1"/>
  <c r="G87" i="21" s="1"/>
  <c r="N315" i="21"/>
  <c r="N128" i="21"/>
  <c r="L277" i="21"/>
  <c r="I50" i="21" s="1"/>
  <c r="I114" i="21" s="1"/>
  <c r="N277" i="21"/>
  <c r="G114" i="21"/>
  <c r="K359" i="21"/>
  <c r="C367" i="21" s="1"/>
  <c r="I100" i="21"/>
  <c r="N64" i="21"/>
  <c r="N36" i="21"/>
  <c r="K316" i="21"/>
  <c r="L198" i="21"/>
  <c r="J36" i="21" s="1"/>
  <c r="N198" i="21"/>
  <c r="N199" i="21" s="1"/>
  <c r="K278" i="21"/>
  <c r="N100" i="21" l="1"/>
  <c r="J100" i="21"/>
  <c r="G151" i="21"/>
  <c r="L316" i="21"/>
  <c r="H57" i="21" s="1"/>
  <c r="N316" i="21"/>
  <c r="K317" i="21"/>
  <c r="G121" i="21"/>
  <c r="L278" i="21"/>
  <c r="J50" i="21" s="1"/>
  <c r="N278" i="21"/>
  <c r="N279" i="21" s="1"/>
  <c r="K279" i="21"/>
  <c r="C287" i="21" s="1"/>
  <c r="K318" i="21"/>
  <c r="K319" i="21"/>
  <c r="C327" i="21" s="1"/>
  <c r="N319" i="21" l="1"/>
  <c r="H121" i="21"/>
  <c r="H151" i="21" s="1"/>
  <c r="H87" i="21"/>
  <c r="L318" i="21"/>
  <c r="J57" i="21" s="1"/>
  <c r="N318" i="21"/>
  <c r="J114" i="21"/>
  <c r="N114" i="21" s="1"/>
  <c r="N50" i="21"/>
  <c r="L317" i="21"/>
  <c r="I57" i="21" s="1"/>
  <c r="N317" i="21"/>
  <c r="I121" i="21" l="1"/>
  <c r="N57" i="21"/>
  <c r="I87" i="21"/>
  <c r="J121" i="21"/>
  <c r="J151" i="21" s="1"/>
  <c r="J87" i="21"/>
  <c r="N87" i="21"/>
  <c r="I151" i="21" l="1"/>
  <c r="N151" i="21" s="1"/>
  <c r="N121" i="21"/>
</calcChain>
</file>

<file path=xl/sharedStrings.xml><?xml version="1.0" encoding="utf-8"?>
<sst xmlns="http://schemas.openxmlformats.org/spreadsheetml/2006/main" count="1267" uniqueCount="386">
  <si>
    <t>Budget</t>
  </si>
  <si>
    <t>Realiteit</t>
  </si>
  <si>
    <t>boekjaar</t>
  </si>
  <si>
    <t>Codes</t>
  </si>
  <si>
    <t>Formule</t>
  </si>
  <si>
    <t>+</t>
  </si>
  <si>
    <t>Aangekochte GSC</t>
  </si>
  <si>
    <t>Aangekochte WKC</t>
  </si>
  <si>
    <t>Verkochte GSC</t>
  </si>
  <si>
    <t>-</t>
  </si>
  <si>
    <t>Verkochte WKC</t>
  </si>
  <si>
    <t>Voorraadwijziging groenestroomcertificaten (toename voorraad: negatieve waarde, afname voorraad: positieve waarde)</t>
  </si>
  <si>
    <t>Voorraadwijziging warmtekrachtcertificaten (toename voorraad: negatieve waarde, afname voorraad: positieve waarde)</t>
  </si>
  <si>
    <t>Kapitaalkostvergoeding niet-geïmmobiliseerde GSC en WKC</t>
  </si>
  <si>
    <t>Gemiddelde voorraad geïmmobiliseerde groenestroom- en warmtekrachtcertificaten (boekhoudkundige waarde)</t>
  </si>
  <si>
    <t>Ja</t>
  </si>
  <si>
    <t>Neen</t>
  </si>
  <si>
    <t>DISTRIBUTIENETBEHEERDER :</t>
  </si>
  <si>
    <t>ONDERNEMINGSNUMMER:</t>
  </si>
  <si>
    <t>WERKMAATSCHAPPIJ:</t>
  </si>
  <si>
    <t>ACTIVITEIT :</t>
  </si>
  <si>
    <t>In het kader van volgende reguleringsperiode:</t>
  </si>
  <si>
    <t>van</t>
  </si>
  <si>
    <t>tot en met</t>
  </si>
  <si>
    <t xml:space="preserve">Het rapporteringsmodel heeft als doel om via een standaardformaat tegemoet te komen aan de informatiebehoeften van de VREG </t>
  </si>
  <si>
    <t>RAPPORTERINGSMODEL EXOGENE KOSTEN</t>
  </si>
  <si>
    <t>Distributienetbeheerder:</t>
  </si>
  <si>
    <t>Activiteit:</t>
  </si>
  <si>
    <t>jaar</t>
  </si>
  <si>
    <t>INVLOED OP HET RESULTAAT</t>
  </si>
  <si>
    <t>Saldo van het jaar</t>
  </si>
  <si>
    <t>TOTAAL</t>
  </si>
  <si>
    <r>
      <rPr>
        <b/>
        <sz val="10"/>
        <rFont val="Arial"/>
        <family val="2"/>
      </rPr>
      <t>Boeking</t>
    </r>
    <r>
      <rPr>
        <sz val="10"/>
        <rFont val="Arial"/>
        <family val="2"/>
      </rPr>
      <t xml:space="preserve"> van het saldo </t>
    </r>
    <r>
      <rPr>
        <sz val="10"/>
        <rFont val="Arial"/>
        <family val="2"/>
      </rPr>
      <t>in het resultaat van het exploitatiejaar</t>
    </r>
  </si>
  <si>
    <t>Totaal</t>
  </si>
  <si>
    <t>(1)</t>
  </si>
  <si>
    <t>(2)</t>
  </si>
  <si>
    <t xml:space="preserve">in het </t>
  </si>
  <si>
    <t xml:space="preserve">resultaat </t>
  </si>
  <si>
    <t xml:space="preserve">    Totale jaarlijkse impact</t>
  </si>
  <si>
    <t xml:space="preserve">    op de resultaten</t>
  </si>
  <si>
    <t>Overlopende rekeningen</t>
  </si>
  <si>
    <t>Saldo</t>
  </si>
  <si>
    <t>(+) Debet saldo</t>
  </si>
  <si>
    <t>Beslissing van de VREG</t>
  </si>
  <si>
    <t>Tariefposten</t>
  </si>
  <si>
    <t>Vlaanderen</t>
  </si>
  <si>
    <t>Federaal</t>
  </si>
  <si>
    <t>Toeslagen of heffingen ter financiering van de openbare dienstverplichtingen</t>
  </si>
  <si>
    <t>Bijdragen ter dekking van de verloren kosten</t>
  </si>
  <si>
    <t>Totaal belastingen, heffingen, toeslagen, bijdragen en retributies</t>
  </si>
  <si>
    <t>Bijkomende informatie</t>
  </si>
  <si>
    <t>Belastingen, heffingen, toeslagen, bijdragen en retributies</t>
  </si>
  <si>
    <t>In dit rapporteringsmodel worden de tabellen en bijkomend aan te leveren informatie opgenomen die moeten worden gebruikt in het kader van</t>
  </si>
  <si>
    <t>RICHTLIJNEN BIJ HET INVULLEN EN DE INTERPRETATIE VAN HET RAPPORTERINGSMODEL VOOR EXOGENE KOSTEN</t>
  </si>
  <si>
    <t xml:space="preserve">de bepaling van het inkomen ter dekking van de exogene kosten van de distributienetbeheerder. Desalniettemin behoudt de VREG zich de mogelijkheid  </t>
  </si>
  <si>
    <t>Legenda celkleuren</t>
  </si>
  <si>
    <t>(+) ==&gt; Teruggave overschot, verlaging van de tarieven;</t>
  </si>
  <si>
    <t xml:space="preserve">(-) ==&gt; Recuperatie tekort, verhoging van de tarieven </t>
  </si>
  <si>
    <t>Resterend saldo terug te nemen</t>
  </si>
  <si>
    <t>Kapitaalkostvergoeding volgens tariefmethodologie</t>
  </si>
  <si>
    <t>X</t>
  </si>
  <si>
    <t>Berekende of overgenomen waarde waarvoor dus geen manuele input vereist is</t>
  </si>
  <si>
    <t>Opmerking</t>
  </si>
  <si>
    <t>Verplicht aangekochte groenestroom- en warmtekrachtcertificaten (GSC en WKC) aan minimumwaarde volgens Energiedecreet</t>
  </si>
  <si>
    <t xml:space="preserve">(-) ==&gt; Minder werkelijke exogene kosten dan werkelijke ontvangsten voor exogene kosten; </t>
  </si>
  <si>
    <t>(+) ==&gt; Meer werkelijke exogene kosten dan werkelijke ontvangsten voor exogene kosten.</t>
  </si>
  <si>
    <t>REGULATOIRE SALDI M.B.T. VOLUMEVERSCHILLEN</t>
  </si>
  <si>
    <t xml:space="preserve">(-) ==&gt; Minder werkelijke exogene kosten dan werkelijke ontvangsten voor exogene kosten (overschot); </t>
  </si>
  <si>
    <t>Vergoeding Vlaamse Overheid relatief t.o.v. gemiddelde voorraad aan boekhoudkundige waarde</t>
  </si>
  <si>
    <t>Tabellen</t>
  </si>
  <si>
    <t>van de commissaris van de distributienetbeheerder.</t>
  </si>
  <si>
    <t xml:space="preserve">Lasten van niet-gekapitaliseerde pensioenen </t>
  </si>
  <si>
    <t>TABEL 2: Algemeen overzicht</t>
  </si>
  <si>
    <t>OPBRENGSTEN</t>
  </si>
  <si>
    <t>I. Bedrijfsopbrengsten</t>
  </si>
  <si>
    <t>70/74</t>
  </si>
  <si>
    <t>A. Omzet</t>
  </si>
  <si>
    <t>B. Wijziging in de voorraad goederen in bewerking</t>
  </si>
  <si>
    <t xml:space="preserve">    en gereed product en in de bestellingen in uit-</t>
  </si>
  <si>
    <t xml:space="preserve">    voering (toename +, afname -)</t>
  </si>
  <si>
    <t>C. Geproduceerde vaste activa</t>
  </si>
  <si>
    <t>D. Andere bedrijfsopbrengsten</t>
  </si>
  <si>
    <t>IV. Financiële opbrengsten</t>
  </si>
  <si>
    <t>VII. Uitzonderlijke opbrengsten</t>
  </si>
  <si>
    <t>IX bis. A. Onttrekking aan de uitgestelde</t>
  </si>
  <si>
    <t xml:space="preserve"> belastingen</t>
  </si>
  <si>
    <t>X. B. Regularisering van belastingen en terugne-</t>
  </si>
  <si>
    <t xml:space="preserve">   ming van voorzieningen voor belastingen</t>
  </si>
  <si>
    <t>XI. Verlies van het boekjaar</t>
  </si>
  <si>
    <t>KOSTEN</t>
  </si>
  <si>
    <t>II. Bedrijfskosten</t>
  </si>
  <si>
    <t>60/64</t>
  </si>
  <si>
    <t>A. Handelsgoederen, grond- en hulpstoffen</t>
  </si>
  <si>
    <t>B. Diensten en diverse goederen</t>
  </si>
  <si>
    <t>C. Bezoldigingen, sociale lasten en pensioenen</t>
  </si>
  <si>
    <t>D. Afschrijvingen en waardeverminderingen op</t>
  </si>
  <si>
    <t xml:space="preserve">    oprichtingskosten, op immateriële en </t>
  </si>
  <si>
    <t xml:space="preserve">    materiële vaste activa</t>
  </si>
  <si>
    <t>E. Waardeverminderingen op voorraden, bestellin-</t>
  </si>
  <si>
    <t xml:space="preserve">    gen in uitvoering en handelsvorderingen (toevoe-</t>
  </si>
  <si>
    <t xml:space="preserve">    gingen +, terugnemingen -)</t>
  </si>
  <si>
    <t>631/4</t>
  </si>
  <si>
    <t>F. Voorzieningen voor risico's en kosten (toevoe-</t>
  </si>
  <si>
    <t xml:space="preserve">    gingen +, bestedingen en terugnemingen -)</t>
  </si>
  <si>
    <t>635/7</t>
  </si>
  <si>
    <t>G. Andere bedrijfskosten</t>
  </si>
  <si>
    <t>640/8</t>
  </si>
  <si>
    <t>H. Als herstructureringskosten geactiveerde bedrijfs-</t>
  </si>
  <si>
    <t xml:space="preserve">    kosten (-)</t>
  </si>
  <si>
    <t>V. Financiële kosten</t>
  </si>
  <si>
    <t>VIII. Uitzonderlijke kosten</t>
  </si>
  <si>
    <t>IX bis. B. Overboeking naar de uitgestelde</t>
  </si>
  <si>
    <t>670/3</t>
  </si>
  <si>
    <t>Netbeheer elektriciteit</t>
  </si>
  <si>
    <t>Netbeheer gas</t>
  </si>
  <si>
    <t>Niet-gereguleerde activiteiten</t>
  </si>
  <si>
    <t>Exogene kosten/opbrengsten</t>
  </si>
  <si>
    <t>XI. Winst van het boekjaar</t>
  </si>
  <si>
    <t>Totaal opbrengsten</t>
  </si>
  <si>
    <t>Totaal kosten</t>
  </si>
  <si>
    <t>Resultaat</t>
  </si>
  <si>
    <t>X. A. Belastingen op het resultaat</t>
  </si>
  <si>
    <t>Overige kosten/opbrengsten</t>
  </si>
  <si>
    <t>TABEL 3A: Overzicht exogene kosten (gebudgetteerde waarden)</t>
  </si>
  <si>
    <t>In te vullen door de distributienetbeheerder</t>
  </si>
  <si>
    <t>In te vullen door de VREG</t>
  </si>
  <si>
    <t>Cel die nog niet kan ingevuld worden met de huidig beschikbare informatie</t>
  </si>
  <si>
    <t>TITELBLAD</t>
  </si>
  <si>
    <t>TABEL 7</t>
  </si>
  <si>
    <t>TABEL 8</t>
  </si>
  <si>
    <t>Tariefcomponent</t>
  </si>
  <si>
    <t>Het basistarief voor het gebruik van het net (tarief voor onderschreven en bijkomend vermogen)</t>
  </si>
  <si>
    <t>Het tarief voor het systeembeheer</t>
  </si>
  <si>
    <t>Het tarief voor openbare dienstverplichtingen</t>
  </si>
  <si>
    <t>De tariefposten in verband met de belastingen, heffingen, toeslagen, bijdragen en retributies</t>
  </si>
  <si>
    <t>Exogene kosten i.h.k.v. het basistarief voor het gebruik van het net</t>
  </si>
  <si>
    <t>Exogene kosten i.h.k.v. het tarief voor het systeembeheer</t>
  </si>
  <si>
    <t>Exogene kosten i.h.k.v. het tarief voor de meet-en telactiviteit</t>
  </si>
  <si>
    <t>Het tarief ter vergoeding van de meet- en telactiviteit</t>
  </si>
  <si>
    <t>Exogene kosten i.h.k.v. het tarief voor openbare dienstverplichtingen</t>
  </si>
  <si>
    <t>Exogene kosten i.h.k.v. het tarief voor de regeling van de spanning en het reactief vermogen</t>
  </si>
  <si>
    <t>Exogene kosten i.h.k.v. het tarief voor de compensatie van de netverliezen</t>
  </si>
  <si>
    <t>Exogene kosten i.h.k.v. het tarief voor de supplementaire en complementaire diensten</t>
  </si>
  <si>
    <t>Exogene kosten i.h.k.v. het tarief voor belastingen, heffingen, toeslagen, bijdragen en retributies</t>
  </si>
  <si>
    <t>(+) ==&gt; Tekort, meer kosten dan gebudgetteerd</t>
  </si>
  <si>
    <t>(-) ==&gt; Overschot, minder kosten dan gebudgetteerd</t>
  </si>
  <si>
    <t>BTW-REGIME:</t>
  </si>
  <si>
    <t>Exogene kosten i.h.k.v. het tarief voor het gebruik van het transmissienet</t>
  </si>
  <si>
    <t>1.</t>
  </si>
  <si>
    <t>Tarief gebruik van het net</t>
  </si>
  <si>
    <t>1.1</t>
  </si>
  <si>
    <t>1.2.</t>
  </si>
  <si>
    <t>Tarief systeemdiensten</t>
  </si>
  <si>
    <t>1.3.</t>
  </si>
  <si>
    <t>Tarief meet- en telactiviteit</t>
  </si>
  <si>
    <t>2.</t>
  </si>
  <si>
    <t>Tarief openbare dienstverplichtingen</t>
  </si>
  <si>
    <t>3.</t>
  </si>
  <si>
    <t>Tarief ondersteunende diensten</t>
  </si>
  <si>
    <t>3.1.</t>
  </si>
  <si>
    <t>Tarief netverliezen</t>
  </si>
  <si>
    <t>3.2.</t>
  </si>
  <si>
    <t>Tarief reactieve energie</t>
  </si>
  <si>
    <t>4.</t>
  </si>
  <si>
    <t>Toeslagen</t>
  </si>
  <si>
    <t>5.</t>
  </si>
  <si>
    <t>Tarief voor het systeembeheer</t>
  </si>
  <si>
    <t>TOTAAL  (ELEKTRICITEIT - AFNAME)</t>
  </si>
  <si>
    <t>TOTAAL  (ELEKTRICITEIT - INJECTIE)</t>
  </si>
  <si>
    <t>I. De tarieven voor het gebruik van het distributienet</t>
  </si>
  <si>
    <t>1)</t>
  </si>
  <si>
    <t xml:space="preserve">Het basistarief voor overbrenging met het net </t>
  </si>
  <si>
    <t>2)</t>
  </si>
  <si>
    <t xml:space="preserve">Het tarief voor het systeembeheer </t>
  </si>
  <si>
    <t>3)</t>
  </si>
  <si>
    <t>Het tarief voor de metingactiviteit</t>
  </si>
  <si>
    <t>II. Het tarief openbare dienstverplichtingen</t>
  </si>
  <si>
    <t>TOTAAL PERIODIEKE TARIEVEN (GAS)</t>
  </si>
  <si>
    <t>TABEL 5A</t>
  </si>
  <si>
    <t>Overdrachten en/of terugnames</t>
  </si>
  <si>
    <t>Gereguleerde activiteiten</t>
  </si>
  <si>
    <t>Controle met tabel 3B:</t>
  </si>
  <si>
    <r>
      <t xml:space="preserve">Gelieve </t>
    </r>
    <r>
      <rPr>
        <b/>
        <i/>
        <sz val="10"/>
        <rFont val="Arial"/>
        <family val="2"/>
      </rPr>
      <t>positieve</t>
    </r>
    <r>
      <rPr>
        <i/>
        <sz val="10"/>
        <rFont val="Arial"/>
        <family val="2"/>
      </rPr>
      <t xml:space="preserve"> waarden in te geven (voor kosten indien debetsaldo en voor opbrengsten indien creditsaldo).</t>
    </r>
  </si>
  <si>
    <r>
      <t xml:space="preserve">Gelieve </t>
    </r>
    <r>
      <rPr>
        <b/>
        <i/>
        <sz val="10"/>
        <rFont val="Arial"/>
        <family val="2"/>
      </rPr>
      <t>positieve</t>
    </r>
    <r>
      <rPr>
        <i/>
        <sz val="10"/>
        <rFont val="Arial"/>
        <family val="2"/>
      </rPr>
      <t xml:space="preserve"> waarden in te geven (voor activa (indien debetsaldo), passiva (indien creditsaldo), kosten (indien debetsaldo) en opbrengsten (indien creditsaldo)), tenzij anders aangegeven in kolom B.</t>
    </r>
  </si>
  <si>
    <t>Aanvullend capaciteitstarief voor prosumenten met terugdraaiende teller</t>
  </si>
  <si>
    <t>Rechtspersonenbelasting</t>
  </si>
  <si>
    <t>Toeslagen ter dekking van de werkingskosten van de CREG</t>
  </si>
  <si>
    <t>Gedeelte m.b.t. distributie</t>
  </si>
  <si>
    <t>Gedeelte m.b.t. transmissie</t>
  </si>
  <si>
    <t>Rapportering over boekjaren</t>
  </si>
  <si>
    <t>ex-ante</t>
  </si>
  <si>
    <t>Evolutie saldo exogene kosten m.b.t. distributie op overlopende rekeningen</t>
  </si>
  <si>
    <t>REGULATOIRE SALDI INZAKE EXOGENE KOSTEN M.B.T. TRANSMISSIENETTARIEVEN</t>
  </si>
  <si>
    <t>TABEL 4A</t>
  </si>
  <si>
    <t>TABEL 4B</t>
  </si>
  <si>
    <t>OMSCHRIJVING RUBRIEKEN</t>
  </si>
  <si>
    <t>CODES</t>
  </si>
  <si>
    <t>FORMULE</t>
  </si>
  <si>
    <t>Rapportering over boekjaar:</t>
  </si>
  <si>
    <t>teneinde een toegestaan inkomen m.b.t. exogene kosten voor elke distributienetbeheerder te bepalen.</t>
  </si>
  <si>
    <t>Het rapporteringsmodel dient in 1 exemplaar te worden opgeleverd, alsook onder elektronische vorm (Excel-formaat).</t>
  </si>
  <si>
    <r>
      <t xml:space="preserve">In geval van rapportering van de werkelijke cijfers </t>
    </r>
    <r>
      <rPr>
        <b/>
        <sz val="10"/>
        <rFont val="Arial"/>
        <family val="2"/>
      </rPr>
      <t xml:space="preserve">ex-post </t>
    </r>
    <r>
      <rPr>
        <sz val="10"/>
        <rFont val="Arial"/>
        <family val="2"/>
      </rPr>
      <t>dient het ingevulde rapporteringsmodel te zijn gewaarmerkt door een rapport van feitelijke bevindingen</t>
    </r>
  </si>
  <si>
    <t>Kosten m.b.t. REG-premies (volgens het Energiebesluit artikels 6.4.1/1 t.e.m. 6.4.1/5)</t>
  </si>
  <si>
    <t>Kosten m.b.t. de actieverplichting energiescans (volgens het Energiebesluit artikel 6.4.1/8)</t>
  </si>
  <si>
    <t>Kosten m.b.t. de actieverplichting sociale dakisolatieprojecten (volgens het Energiebesluit artikel 6.4.1/9)</t>
  </si>
  <si>
    <t>Recuperatie van kosten van de openbaredienstverplichtingen m.b.t. het stimuleren van rationeel energiegebruik (REG):</t>
  </si>
  <si>
    <t>Kosten van de openbaredienstverplichtingen m.b.t. het stimuleren van rationeel energiegebruik (REG):</t>
  </si>
  <si>
    <t>Recuperatie van kosten m.b.t. de actieverplichting energiescans (volgens het Energiebesluit artikel 6.4.1/12 §3)</t>
  </si>
  <si>
    <t>Recuperatie van kosten m.b.t. de actieverplichting sociale dakisolatieprojecten (volgens het Energiebesluit artikel 6.4.1/12 §4)</t>
  </si>
  <si>
    <t xml:space="preserve">Verkochte GSC en WKC </t>
  </si>
  <si>
    <t>Netto-uitgaven/ -inkomsten (positieve waarde voor een netto-uitgave, en omgekeerd) i.h.k.v. de verrekening van de kost van groenestroom- en warmtekrachtcertificaten onder distributienetbeheerders volgens Energiedecreet (solidarisering opkoopverplichting)</t>
  </si>
  <si>
    <r>
      <t>Inkomsten verkregen van Vlaamse Overheid (VEA) m.b.t. op de markt verkochte geïmmobiliseerde certificaten (cfr Energiebesluit artikel 6.4.14/2 §3) (</t>
    </r>
    <r>
      <rPr>
        <b/>
        <u/>
        <sz val="10"/>
        <rFont val="Arial"/>
        <family val="2"/>
      </rPr>
      <t>niet</t>
    </r>
    <r>
      <rPr>
        <u/>
        <sz val="10"/>
        <rFont val="Arial"/>
        <family val="2"/>
      </rPr>
      <t xml:space="preserve"> </t>
    </r>
    <r>
      <rPr>
        <sz val="10"/>
        <rFont val="Arial"/>
        <family val="2"/>
      </rPr>
      <t>inkomsten verkregen van Vlaamse Overheid (VEA) m.b.t. werkelijke externe financieringskosten zoals beschreven in Energiebesluit artikel 6.4.14/2 §2)</t>
    </r>
  </si>
  <si>
    <t>Overige lokale, provinciale, gewestelijke of federale belastingen, heffingen, toeslagen, bijdragen en retributies</t>
  </si>
  <si>
    <t>Gelieve positieve waarden te rapporteren voor kosten (indien debetsaldo).</t>
  </si>
  <si>
    <t>Bijkomende verantwoording in afzonderlijk verklarende nota vereist:</t>
  </si>
  <si>
    <t>M.b.t. het basistarief voor het gebruik van het net</t>
  </si>
  <si>
    <t>M.b.t. het tarief voor het systeembeheer</t>
  </si>
  <si>
    <t>M.b.t. het tarief voor de meet-en telactiviteit</t>
  </si>
  <si>
    <t>M.b.t. het tarief voor openbare dienstverplichtingen</t>
  </si>
  <si>
    <t>M.b.t. het tarief voor de regeling van de spanning en het reactief vermogen</t>
  </si>
  <si>
    <t>M.b.t. het tarief voor de compensatie van de netverliezen</t>
  </si>
  <si>
    <t>M.b.t. het tarief voor de supplementaire en complementaire diensten</t>
  </si>
  <si>
    <t>M.b.t. het tarief voor belastingen, heffingen, toeslagen, bijdragen en retributies</t>
  </si>
  <si>
    <t>Naam distributienetbeheerder</t>
  </si>
  <si>
    <r>
      <rPr>
        <b/>
        <sz val="10"/>
        <rFont val="Arial"/>
        <family val="2"/>
      </rPr>
      <t>Terugname</t>
    </r>
    <r>
      <rPr>
        <sz val="10"/>
        <rFont val="Arial"/>
        <family val="2"/>
      </rPr>
      <t xml:space="preserve"> van het saldo in het resultaat van het exploitatiejaar (zoals vastgelegd in de tariefmethodologie)</t>
    </r>
  </si>
  <si>
    <t>Tarief voor het niet respecteren van een aanvaard programma</t>
  </si>
  <si>
    <t>3.3.</t>
  </si>
  <si>
    <t>TABEL 5A: Opvolging regulatoir saldo inzake volumeverschillen m.b.t. inkomsten uit periodieke distributienettarieven voor endogene kosten op basis van energieverbruikgerelateerde tariefdragers (kWh, kWmax, kW, kVarh en kVA)</t>
  </si>
  <si>
    <t>Relatief aandeel endogene kosten (%)</t>
  </si>
  <si>
    <t>Endogene kosten/opbrengsten</t>
  </si>
  <si>
    <t>Onderschreven en bijkomend vermogen (~ basistarief voor gebruik van het net)</t>
  </si>
  <si>
    <t>III. Tarieven voor de complementaire diensten</t>
  </si>
  <si>
    <t>IV. Tarieven voor de supplementaire diensten</t>
  </si>
  <si>
    <t>V. Belastingen, heffingen, toeslagen, bijdragen en retributies</t>
  </si>
  <si>
    <t>TABEL 5B</t>
  </si>
  <si>
    <t>REGULATOIRE SALDI INZAKE EXOGENE KOSTEN M.B.T. DISTRIBUTIENETTARIEVEN</t>
  </si>
  <si>
    <t>TABEL 4B: Overzicht regulatoir saldo inzake exogene kosten m.b.t. distributienettarieven per tariefcomponent</t>
  </si>
  <si>
    <t>Het tarief voor de compensatie van de netverliezen</t>
  </si>
  <si>
    <t>Boeking regulatoir saldo inzake exogene kosten m.b.t. distributienettarieven per tariefcomponent</t>
  </si>
  <si>
    <t>Het tarief voor de regeling van de spanning en van het reactief vermogen</t>
  </si>
  <si>
    <t>Afgebouwd regulatoir saldo inzake exogene kosten m.b.t. distributienettarieven per tariefcomponent</t>
  </si>
  <si>
    <t>Nog af te bouwen regulatoir saldo inzake exogene kosten m.b.t. distributienettarieven per tariefcomponent</t>
  </si>
  <si>
    <t>Controle met TABEL 4A:</t>
  </si>
  <si>
    <r>
      <t xml:space="preserve">Afbouw regulatoir saldo inzake exogene kosten </t>
    </r>
    <r>
      <rPr>
        <sz val="10"/>
        <rFont val="Arial"/>
        <family val="2"/>
      </rPr>
      <t>m.b.t. distributie, zoals vastgelegd in de tariefmethodologie (positieve waarde voor recuperatie tekort, en omgekeerd)</t>
    </r>
  </si>
  <si>
    <t>Afbouw regulatoir saldo inzake exogene kosten m.b.t. transmissie, zoals vastgelegd in de tariefmethodologie (positieve waarde voor recuperatie tekort, en omgekeerd)</t>
  </si>
  <si>
    <t>Evolutie saldo m.b.t. volumeverschillen op overlopende rekeningen</t>
  </si>
  <si>
    <t xml:space="preserve">TABEL 5B: Overzicht regulatoir saldo per tariefcomponent inzake volumeverschillen m.b.t. inkomsten uit periodieke distributienettarieven voor endogene kosten op basis van energieverbruikgerelateerde tariefdragers (kWh, kWmax, kW, kVarh en kVA) </t>
  </si>
  <si>
    <t>Controle met TABEL 5A:</t>
  </si>
  <si>
    <t>Nog af te bouwen regulatoir saldo inzake volumeverschillen m.b.t. endogene kosten (uitgezonderd EAN's) per tariefcomponent</t>
  </si>
  <si>
    <t>Afgebouwd regulatoir saldo inzake volumeverschillen m.b.t. endogene kosten (uitgezonderd EAN's) per tariefcomponent</t>
  </si>
  <si>
    <t>Boeking regulatoir saldo inzake volumeverschillen m.b.t. endogene kosten (uitgezonderd EAN's) per tariefcomponent</t>
  </si>
  <si>
    <t>Kapitaalkostvergoeding voor het regulatoire saldo inzake volumeverschillen m.b.t. endogene kosten (uitgezonderd volumeverschillen m.b.t. EAN's)</t>
  </si>
  <si>
    <t>TABEL 5C, 5D en 5E</t>
  </si>
  <si>
    <t>Opmerking:</t>
  </si>
  <si>
    <t>Afbouw regulatoir saldo inzake volumeverschillen voor endogene kosten (uitgezonderd volumeverschillen m.b.t. EAN's), zoals vastgelegd in de tariefmethodologie (positieve waarde voor recuperatie tekort, en omgekeerd)</t>
  </si>
  <si>
    <t>Afbouw regulatoir saldo inzake herindexering van het budget voor endogene kosten, zoals vastgelegd in de tariefmethodologie (positieve waarde voor recuperatie tekort, en omgekeerd)</t>
  </si>
  <si>
    <t>Kapitaalkostvergoeding voor het regulatoire saldo inzake herindexering van het budget voor endogene kosten</t>
  </si>
  <si>
    <t>(+) ==&gt; Minder werkelijke ontvangsten dan budget endogene kosten (tekort)</t>
  </si>
  <si>
    <t>(-) ==&gt; Meer werkelijke ontvangsten dan budget endogene kosten (overschot)</t>
  </si>
  <si>
    <t>TABEL 6A: Opvolging regulatoir saldo inzake herindexering van het budget voor endogene kosten</t>
  </si>
  <si>
    <t>x-waarde voor de betreffende reguleringsperiode</t>
  </si>
  <si>
    <t>Financieel effect van de kwaliteitsprikkel</t>
  </si>
  <si>
    <t>Budget endogene kosten en werkelijke ontvangsten voor endogene kosten, excl tariefdrager EAN's</t>
  </si>
  <si>
    <t>(-) ==&gt; Lagere inflatie dan verwacht (overschot)</t>
  </si>
  <si>
    <t>Evolutie saldo m.b.t. herindexering budget endogene kosten op overlopende rekeningen</t>
  </si>
  <si>
    <t>Boeking regulatoir saldo inzake herindexering budget endogene kosten per tariefcomponent</t>
  </si>
  <si>
    <t>Afgebouwd regulatoir saldo inzake herindexering endogene kosten per tariefcomponent</t>
  </si>
  <si>
    <t>Nog af te bouwen regulatoir saldo inzake herindexering budget endogene kosten per tariefcomponent</t>
  </si>
  <si>
    <t>Controle met TABEL 6A:</t>
  </si>
  <si>
    <t>TABEL 6B</t>
  </si>
  <si>
    <t>TABEL 6A</t>
  </si>
  <si>
    <t>REGULATOIRE SALDI M.B.T. HERINDEXERING BUDGET ENDOGENE KOSTEN</t>
  </si>
  <si>
    <t>TABEL 7: Opvolging regulatoir saldo inzake vennootschapsbelasting</t>
  </si>
  <si>
    <t>Afbouw regulatoir saldo inzake vennootschapsbelasting, zoals vastgelegd in de tariefmethodologie (positieve waarde voor recuperatie tekort, en omgekeerd)</t>
  </si>
  <si>
    <t>Kapitaalkostvergoeding voor het regulatoire saldo inzake vennootschapsbelasting</t>
  </si>
  <si>
    <t>Het tarief ter vergoeding van de meet-en telactiviteit</t>
  </si>
  <si>
    <t>De niet-periodieke tarieven</t>
  </si>
  <si>
    <t>Het tarief in verband met het gebruik van het transmissienet (exclusief federale bijdrage elektriciteit)</t>
  </si>
  <si>
    <t>Kapitaalkostvergoeding voor het regulatoir actief/passief geboekt onder voorgaande tariefmethodologieën</t>
  </si>
  <si>
    <t>TABEL 10: Belastingen, heffingen, toeslagen, bijdragen en retributies</t>
  </si>
  <si>
    <t>Omschrijving</t>
  </si>
  <si>
    <r>
      <t>Opbrengsten gevorderd door de distributienetbeheerder van de Vlaamse Overheid (VEA) i.h.k.v. banking certificaten (geïmmobiliseerde certificaten), alleen voor vergoeding van de werkelijke externe financieringskosten (</t>
    </r>
    <r>
      <rPr>
        <b/>
        <sz val="10"/>
        <rFont val="Arial"/>
        <family val="2"/>
      </rPr>
      <t xml:space="preserve">niet </t>
    </r>
    <r>
      <rPr>
        <sz val="10"/>
        <rFont val="Arial"/>
        <family val="2"/>
      </rPr>
      <t xml:space="preserve">de vergoeding </t>
    </r>
    <r>
      <rPr>
        <sz val="10"/>
        <rFont val="Arial"/>
        <family val="2"/>
      </rPr>
      <t>bij verkoop van de certificaten)</t>
    </r>
  </si>
  <si>
    <t>TABEL 9</t>
  </si>
  <si>
    <t>Werd de vergoeding m.b.t. de werkelijke externe financieringskost voor de geïmmobiliseerde certificaten geplafonneerd? (input VREG)</t>
  </si>
  <si>
    <t>Bij de rapportering van de post 'lasten van niet-gekapitaliseerde pensioenen' dienen de betreffende financiële lasten buiten beschouwing worden gelaten.</t>
  </si>
  <si>
    <t>In kolom G wordt met 'X' aangegeven voor welke rubrieken de distributienetbeheerder een gedetailleerde onderbouwing van het budget dient op te geven in een afzonderlijk verklarende nota.</t>
  </si>
  <si>
    <t>ONDERBOUWING BUDGET</t>
  </si>
  <si>
    <t>Het tarief voor de supplementaire en complementaire diensten</t>
  </si>
  <si>
    <t>Afbouw van regulatoir actief/passief geboekt onder voorgaande tariefmethodologieën, zoals vastgelegd in de VREG tariefmethodologie (positieve waarde voor recuperatie tekort, en omgekeerd)</t>
  </si>
  <si>
    <t>M.b.t. de niet-periodieke tarieven</t>
  </si>
  <si>
    <t>Recuperatie van kosten m.b.t. REG-premies (volgens het Energiebesluit artikel 6.4.1/12 §2)</t>
  </si>
  <si>
    <t>TABEL 10</t>
  </si>
  <si>
    <t>TOTAAL EXOGENE KOSTEN M.B.T. DISTRIBUTIE</t>
  </si>
  <si>
    <t>TOTAAL EXOGENE KOSTEN M.B.T. TRANSMISSIE</t>
  </si>
  <si>
    <t>TOTAAL EXOGENE KOSTEN</t>
  </si>
  <si>
    <t>Evolutie saldo exogene kosten m.b.t. transmissie op overlopende rekeningen</t>
  </si>
  <si>
    <t>Totale werkelijke ontvangsten uit periodieke nettarieven voor exogene kosten</t>
  </si>
  <si>
    <t>TABEL 9: Saldo kapitaalkostvergoeding voor geïmmobiliseerde GSC en WKC in portefeuille van de distributienetbeheerder</t>
  </si>
  <si>
    <t xml:space="preserve">om, indien nodig, nog bijkomende inlichtingen buiten dit rapporteringsmodel op te vragen. </t>
  </si>
  <si>
    <r>
      <t xml:space="preserve">Op </t>
    </r>
    <r>
      <rPr>
        <b/>
        <sz val="10"/>
        <rFont val="Arial"/>
        <family val="2"/>
      </rPr>
      <t xml:space="preserve">ex-ante </t>
    </r>
    <r>
      <rPr>
        <sz val="10"/>
        <rFont val="Arial"/>
        <family val="2"/>
      </rPr>
      <t>basis (gebudgetteerde waarden) is een rapport van feitelijke bevindingen van de commissaris dus niet vereist.</t>
    </r>
  </si>
  <si>
    <r>
      <t xml:space="preserve">In het titelblad (de identificatie) dient de distributienetbeheerder de velden: distributienetbeheerder, ondernemingsnummer, BTW-regime, werkmaatschappij, activiteit en het boekjaar waarover wordt gerapporteerd in te vullen. De distributienetbeheerder dient hierbij eveneens aan te geven of het een </t>
    </r>
    <r>
      <rPr>
        <b/>
        <sz val="10"/>
        <rFont val="Arial"/>
        <family val="2"/>
      </rPr>
      <t>ex-ante</t>
    </r>
    <r>
      <rPr>
        <sz val="10"/>
        <rFont val="Arial"/>
        <family val="2"/>
      </rPr>
      <t xml:space="preserve"> of </t>
    </r>
    <r>
      <rPr>
        <b/>
        <sz val="10"/>
        <rFont val="Arial"/>
        <family val="2"/>
      </rPr>
      <t>ex-post</t>
    </r>
    <r>
      <rPr>
        <sz val="10"/>
        <rFont val="Arial"/>
        <family val="2"/>
      </rPr>
      <t xml:space="preserve"> rapportering betreft. In de verdere tabellen van het rapporteringsmodel zijn de vergelijkbare velden gelinkt aan dit titelblad. Deze velden worden dus automatisch aangevuld.</t>
    </r>
  </si>
  <si>
    <t>Overzicht gerapporteerde waarden per tariefcomponent:</t>
  </si>
  <si>
    <r>
      <t xml:space="preserve">Deze tabel detailleert de verschillende kostenrubrieken inzake exogene kosten die in rekening worden genomen ter bepaling van het toegestaan inkomen inzake exogene kosten. Hierbij rapporteert de distributienetbeheerder </t>
    </r>
    <r>
      <rPr>
        <b/>
        <sz val="10"/>
        <rFont val="Arial"/>
        <family val="2"/>
      </rPr>
      <t>ex-ante</t>
    </r>
    <r>
      <rPr>
        <sz val="10"/>
        <rFont val="Arial"/>
        <family val="2"/>
      </rPr>
      <t xml:space="preserve"> zijn budget voor elk van de betreffende kostenrubrieken. De distributienetbeheerder dient voor een aantal rubrieken eveneens een gedetailleerde onderbouwing van het budget in een afzonderlijk verklarende nota bij te voegen (aangegeven a.d.h.v. 'X' in kolom G).</t>
    </r>
  </si>
  <si>
    <t>Deze tabel laat een jaarlijkse opvolging toe van enerzijds de saldi inzake de exogene kosten m.b.t. distributienettarieven, die door de VREG werden goedgekeurd, en anderzijds de saldi, die door de distributienetbeheerder jaar na jaar werden ingeboekt. Tenslotte blijkt uit deze tabel eveneens het gedeelte van het saldo dat reeds werd afgebouwd in de daaropvolgende jaren en het gedeelte van het saldo dat nog moet worden afgebouwd.</t>
  </si>
  <si>
    <t xml:space="preserve">Geef in een afzonderlijk verklarende nota de wettelijke basis voor alle gerapporteerde waarden in onderstaande tabel, indien van toepassing.   </t>
  </si>
  <si>
    <t>Gelieve in een afzonderlijk verklarende nota eveneens een opsplitsing van de post "overige lokale, provinciale, gewestelijke of federale belastingen, heffingen, toeslagen, bijdragen en retributies" te geven. Geef hierbij per onderscheiden component de bedragen op.</t>
  </si>
  <si>
    <r>
      <t xml:space="preserve">In deze tabel dient de distributienetbeheerder zowel de gebudgetteerde (op </t>
    </r>
    <r>
      <rPr>
        <b/>
        <sz val="10"/>
        <rFont val="Arial"/>
        <family val="2"/>
      </rPr>
      <t xml:space="preserve">ex-ante </t>
    </r>
    <r>
      <rPr>
        <sz val="10"/>
        <rFont val="Arial"/>
        <family val="2"/>
      </rPr>
      <t xml:space="preserve">basis) als de werkelijke (op </t>
    </r>
    <r>
      <rPr>
        <b/>
        <sz val="10"/>
        <rFont val="Arial"/>
        <family val="2"/>
      </rPr>
      <t>ex-post</t>
    </r>
    <r>
      <rPr>
        <sz val="10"/>
        <rFont val="Arial"/>
        <family val="2"/>
      </rPr>
      <t xml:space="preserve"> basis) waarden te rapporteren voor elk van de onderscheiden tariefposten. 
In een afzonderlijk verklarende nota dient de distributienetbeheerder eveneens, indien van toepassing, de wettelijke basis voor de gerapporteerde waarden op te geven. Hiernaast dient hij in een afzonderlijk verklarende nota eveneens een opsplitsing van de post 'overige lokale, provinciale, gewestelijke of federale belastingen, heffingen, toeslagen, bijdragen en retributies' op te geven waarbij hij per onderscheiden component eveneens de bedragen dient op te geven. 
Voorts dienen bij de rapportering van de post 'lasten van niet-gekapitaliseerde pensioenen' de betreffende financiële lasten buiten beschouwing worden gelaten.</t>
    </r>
  </si>
  <si>
    <t xml:space="preserve">TABEL 4A: Opvolging regulatoir saldo inzake exogene kosten m.b.t. distributienettarieven </t>
  </si>
  <si>
    <t>TABEL 6B: Overzicht regulatoir saldo inzake herindexering van het budget voor endogene kosten per tariefcomponent</t>
  </si>
  <si>
    <t>Saldo kapitaalkostvergoeding geïmmobiliseerde GSC en WKC indien financieringskostvergoeding door de Vlaamse Overheid werd geplafonneerd en lager is dan de vergoeding volgens de tariefmethodologie</t>
  </si>
  <si>
    <r>
      <t xml:space="preserve">Kapitaalkostvergoeding voor het regulatoir saldo inzake exogene kosten </t>
    </r>
    <r>
      <rPr>
        <sz val="10"/>
        <rFont val="Arial"/>
        <family val="2"/>
      </rPr>
      <t>m.b.t. distributie</t>
    </r>
  </si>
  <si>
    <t>Kapitaalkostvergoeding voor het regulatoir saldo inzake exogene kosten m.b.t. transmissie</t>
  </si>
  <si>
    <r>
      <t xml:space="preserve">In deze tabel rapporteert de distributienetbeheerder </t>
    </r>
    <r>
      <rPr>
        <b/>
        <sz val="10"/>
        <rFont val="Arial"/>
        <family val="2"/>
      </rPr>
      <t xml:space="preserve">ex-post </t>
    </r>
    <r>
      <rPr>
        <sz val="10"/>
        <rFont val="Arial"/>
        <family val="2"/>
      </rPr>
      <t>de werkelijke waarden voor elk van de kostenrubrieken. Verder worden in deze tabel per tariefcomonent ook de werkelijke ontvangsten m.b.t. exogene kosten voor het betreffende boekjaar opgenomen, hetgeen toelaat om per tariefcomponent het regulatoir saldo inzake exogene kosten te bepalen.</t>
    </r>
  </si>
  <si>
    <t>TABEL 4C: Opvolging regulatoir saldo inzake exogene kosten m.b.t. transmissienettarieven (exclusief federale bijdrage elektriciteit)</t>
  </si>
  <si>
    <t>TABEL 4C</t>
  </si>
  <si>
    <r>
      <t xml:space="preserve">Kost m.b.t. de door Elia aan de distributienetbeheerder aangerekende vergoeding voor het gebruik van het transmissienet (elektriciteit) - </t>
    </r>
    <r>
      <rPr>
        <b/>
        <sz val="10"/>
        <rFont val="Arial"/>
        <family val="2"/>
      </rPr>
      <t xml:space="preserve">exclusief </t>
    </r>
    <r>
      <rPr>
        <sz val="10"/>
        <rFont val="Arial"/>
        <family val="2"/>
      </rPr>
      <t>federale bijdrage elektriciteit</t>
    </r>
  </si>
  <si>
    <r>
      <t xml:space="preserve">Kost m.b.t. de door een andere distributienetbeheerder (via doorvoer) aangerekende vergoeding voor het gebruik van het transmissienet (elektriciteit) - </t>
    </r>
    <r>
      <rPr>
        <b/>
        <sz val="10"/>
        <rFont val="Arial"/>
        <family val="2"/>
      </rPr>
      <t xml:space="preserve">exclusief </t>
    </r>
    <r>
      <rPr>
        <sz val="10"/>
        <rFont val="Arial"/>
        <family val="2"/>
      </rPr>
      <t>federale bijdrage elektriciteit</t>
    </r>
  </si>
  <si>
    <r>
      <t xml:space="preserve">Opbrengst uit de aan een andere distributienetbeheer (via doorvoer) aangerekende vergoeding voor het gebruik van het transmissienet (elektriciteit) - </t>
    </r>
    <r>
      <rPr>
        <b/>
        <sz val="10"/>
        <rFont val="Arial"/>
        <family val="2"/>
      </rPr>
      <t>exclusief</t>
    </r>
    <r>
      <rPr>
        <sz val="10"/>
        <rFont val="Arial"/>
        <family val="2"/>
      </rPr>
      <t xml:space="preserve"> federale bijdrage elektriciteit</t>
    </r>
  </si>
  <si>
    <t>Tarief in verband met het gebruik van het transmissienet (exclusief federale bijdrage elektriciteit)</t>
  </si>
  <si>
    <t>TABEL 5C</t>
  </si>
  <si>
    <t>M.b.t. het tarief in verband met het gebruik van het transmissienet (excl federale bijdrage elektriciteit)</t>
  </si>
  <si>
    <t>Saldo indien vergoeding Vlaamse Overheid geplafonneerd en lager dan vergoeding in tariefmethodologie 2015-2016</t>
  </si>
  <si>
    <t>Afrekeningskosten van de gratis kWh, zoals was vermeld in het Energiedecreet</t>
  </si>
  <si>
    <t>Wettelijke rentevoet voor boekjaar 2016 (input VREG)</t>
  </si>
  <si>
    <t>Beginvoorraad geïmmobiliseerde groenestroom- en warmtekrachtcertificaten (1/01/2016)</t>
  </si>
  <si>
    <t>Eindvoorraad geïmmobiliseerde groenestroom- en warmtekrachtcertificaten (31/12/2016)</t>
  </si>
  <si>
    <t>TOTAAL EXOGENE KOSTEN BUDGET</t>
  </si>
  <si>
    <t>Budget endogene kosten, volgens tariefvoorstel</t>
  </si>
  <si>
    <t>De ex-ante correctie voor vennootschapsbelasting, zoals vastgesteld door de VREG m.b.t. het toegelaten inkomen voor endogene kosten (idem waarde in de bijlage 9 van de tariefmethodologie 'tabel 1' - Budgetwaarde)</t>
  </si>
  <si>
    <r>
      <t>Werkelijke inflatie jaar op jaar voor de maand juli van dat jaar (CPI</t>
    </r>
    <r>
      <rPr>
        <b/>
        <vertAlign val="subscript"/>
        <sz val="10"/>
        <rFont val="Arial"/>
        <family val="2"/>
      </rPr>
      <t>j</t>
    </r>
    <r>
      <rPr>
        <b/>
        <sz val="10"/>
        <rFont val="Arial"/>
        <family val="2"/>
      </rPr>
      <t>)</t>
    </r>
  </si>
  <si>
    <r>
      <t>Inflatie jaar op jaar voor de maand juli die in het jaar voordien werd verwacht, gehanteerd door de VREG bij vaststelling toegelaten inkomen voor het betreffende boekjaar (CPI</t>
    </r>
    <r>
      <rPr>
        <b/>
        <vertAlign val="subscript"/>
        <sz val="10"/>
        <rFont val="Arial"/>
        <family val="2"/>
      </rPr>
      <t>j,v</t>
    </r>
    <r>
      <rPr>
        <b/>
        <sz val="10"/>
        <rFont val="Arial"/>
        <family val="2"/>
      </rPr>
      <t>)</t>
    </r>
  </si>
  <si>
    <t>REGULATOIR SALDO HERINDEXERING</t>
  </si>
  <si>
    <t>REGULATOIR SALDO VOLUMEVERSCHILLEN</t>
  </si>
  <si>
    <t>REGULATOIRE SALDI M.B.T. VENNOOTSCHAPSBELASTING, CFR. BIJLAGE 9 TARIEFMETHODOLOGIE</t>
  </si>
  <si>
    <r>
      <t xml:space="preserve">In deze tabel rapporteert de distributienetbeheerder de resultatenrekening voor het betreffende boekjaar, gesplitst over de verschillende activiteiten ('netbeheer elektriciteit', 'netbeheer gas' en 'niet-gereguleerde activiteiten', waarbij 'netbeheer elektriciteit' en 'netbeheer gas' verder worden uitgesplitst in endogene kosten/opbrengsten, exogene kosten/opbrengsten, overige kosten/opbrengsten, overdrachten en/of terugnames en niet-gereguleerde activiteiten).
Deze tabel kan enkel op </t>
    </r>
    <r>
      <rPr>
        <b/>
        <sz val="10"/>
        <rFont val="Arial"/>
        <family val="2"/>
      </rPr>
      <t>ex-post</t>
    </r>
    <r>
      <rPr>
        <sz val="10"/>
        <rFont val="Arial"/>
        <family val="2"/>
      </rPr>
      <t xml:space="preserve"> basis gerapporteerd worden waarbij de totaalwaarden dienen overeen te komen met de gepubliceerde jaarrekening.</t>
    </r>
  </si>
  <si>
    <t>TABEL 3B: Bepaling regulatoir saldo inzake exogene kosten (werkelijke waarden)</t>
  </si>
  <si>
    <t>Totaal nog af te bouwen regulatoir saldo</t>
  </si>
  <si>
    <t>Totaal afgebouwd regulatoir saldo</t>
  </si>
  <si>
    <t>(+) ==&gt; Hogere inflatie dan verwacht (tekort);</t>
  </si>
  <si>
    <t>(+) ==&gt; Tekort, meer kosten dan gebudgetteerd;</t>
  </si>
  <si>
    <t>(-) ==&gt; Recuperatie tekort, verhoging van de tarieven ;</t>
  </si>
  <si>
    <t>(+) ==&gt; Teruggave overschot, verlaging van de tarieven</t>
  </si>
  <si>
    <t>(-) Credit saldo;</t>
  </si>
  <si>
    <t>(+) ==&gt; Minder werkelijke ontvangsten dan budget endogene kosten (tekort);</t>
  </si>
  <si>
    <t>(+) ==&gt; Meer werkelijke exogene kosten dan werkelijke ontvangsten voor exogene kosten (tekort)</t>
  </si>
  <si>
    <t>Evolutie saldo m.b.t. venootschapsbelasting op overlopende rekeningen</t>
  </si>
  <si>
    <t>Het eventueel voorschot zoals toegekend door de VREG en opgenomen in het tariefvoorstel</t>
  </si>
  <si>
    <r>
      <t xml:space="preserve">Deze tabel geeft een algemeen overzicht van de gerapporteerde gegevens zowel op </t>
    </r>
    <r>
      <rPr>
        <b/>
        <sz val="10"/>
        <rFont val="Arial"/>
        <family val="2"/>
      </rPr>
      <t>ex-ante</t>
    </r>
    <r>
      <rPr>
        <sz val="10"/>
        <rFont val="Arial"/>
        <family val="2"/>
      </rPr>
      <t xml:space="preserve"> als </t>
    </r>
    <r>
      <rPr>
        <b/>
        <sz val="10"/>
        <rFont val="Arial"/>
        <family val="2"/>
      </rPr>
      <t>ex-post</t>
    </r>
    <r>
      <rPr>
        <sz val="10"/>
        <rFont val="Arial"/>
        <family val="2"/>
      </rPr>
      <t xml:space="preserve"> basis, opgesplitst per tariefcomponent. De gerapporteerde waarden op </t>
    </r>
    <r>
      <rPr>
        <b/>
        <sz val="10"/>
        <rFont val="Arial"/>
        <family val="2"/>
      </rPr>
      <t>ex-ante</t>
    </r>
    <r>
      <rPr>
        <sz val="10"/>
        <rFont val="Arial"/>
        <family val="2"/>
      </rPr>
      <t xml:space="preserve"> basis vormen, mits controle en goedkeuring door de VREG, het toegestaan inkomen inzake exogene kosten, hetgeen op haar beurt door de distributienetbeheerder in rekening moet worden genomen bij de opmaak van zijn tariefvoorstel, rekening houdende met de opsplitsing per tariefcomponent.</t>
    </r>
  </si>
  <si>
    <t>Werkelijke ontvangsten m.b.t. endogene kosten</t>
  </si>
  <si>
    <t>Indien in een boekjaar periodieke elektriciteitsdistributienettarieven (afname) en/of transmissienettarieven van meer dan één tariefvoorstel worden toegepast, zal per tariefcomponent het relatief aandeel van de endogene kosten voor boekjaar 20XX worden bepaald op basis van het pro rata aandeel van de endogene kosten , conform de methodiek zoals beschreven in paragraaf 5.5.6 van de hoofdtekst van de tariefmethodologie. Dit pro rata aandeel wordt aldus bepaald op basis van het aantal kalenderdagen dat de periodieke elektriciteitsdistributienettarieven (afname) en/of transmissienettarieven volgens elk van de tariefvoorstellen van kracht waren. Hierbij dient de distributienetbeheerder in een afzonderlijk verklarende nota de detailberekening van het pro rata aandeel van de endogene kosten per tariefcomponent op te geven, d.w.z. dat uit de detailberekening voor elke tariefcomponent duidelijk dient te zijn wat het aandeel van de endogene kosten in elk van de toepasselijke tariefvoorstellen was en hoeveel kalenderdagen de tarieven uit elk van de tariefvoorstellen van kracht waren in boekjaar 20XX.</t>
  </si>
  <si>
    <t>Indien in een boekjaar periodieke elektriciteitsdistributienettarieven (injectie) van meer dan één tariefvoorstel worden toegepast, zal per tariefcomponent het relatief aandeel van de endogene kosten voor boekjaar 20XX worden bepaald op basis van het pro rata aandeel van de endogene kosten, conform de methodiek zoals beschreven in paragraaf 5.5.6 van de hoofdtekst van de tariefmethodologie. Dit pro rata aandeel wordt aldus bepaald op basis van het aantal kalenderdagen dat de periodieke elektriciteitsdistributienettarieven (injectie) volgens elk van de tariefvoorstellen van kracht waren. Hierbij dient de distributienetbeheerder in een afzonderlijk verklarende nota de detailberekening van het pro rata aandeel van de endogene kosten per tariefcomponent op te geven, d.w.z. dat uit de detailberekening voor elke tariefcomponent duidelijk dient te zijn wat het aandeel van de endogene kosten in elk van de toepasselijke tariefvoorstellen was en hoeveel kalenderdagen de tarieven uit elk van de tariefvoorstellen van kracht waren in boekjaar 20XX.</t>
  </si>
  <si>
    <r>
      <t xml:space="preserve">Teneinde per tariefcomponent de werkelijke ontvangsten uit periodieke distributienettarieven voor zowel exogene als endogene kosten m.b.t. het boekjaar te kunnen bepalen, dient de distributienetbeheerder op </t>
    </r>
    <r>
      <rPr>
        <b/>
        <sz val="10"/>
        <rFont val="Arial"/>
        <family val="2"/>
      </rPr>
      <t xml:space="preserve">ex-post </t>
    </r>
    <r>
      <rPr>
        <sz val="10"/>
        <rFont val="Arial"/>
        <family val="2"/>
      </rPr>
      <t>basis in deze tabel per tariefcomponent de werkelijke ontvangsten uit periodieke distributienettarieven (gas - afname) te rapporteren. 
Vervolgens dient de distributienetbeheerder per tariefcomponent het relatief aandeel van de endogene kosten in de totale werkelijke ontvangsten te bepalen. Dit aandeel kan per tariefcomponent worden afgeleid uit het aandeel van de endogene kosten in 'tabel 10' van het tariefvoorstel.
Op basis hiervan kunnen dan de werkelijke ontvangsten m.b.t periodieke distributienettarieven (gas - afname) voor zowel de endogene kosten als de exogene kosten worden bepaald.
De werkelijke ontvangsten inzake endogene kosten dienen door de distributienetbeheerder per tariefcomponent (uitgezonderd voor het tarief m.b.t. meet- en telactiviteit) in beschouwing worden genomen in 'TABEL 5A' van het rapporteringsmodel. 
De werkelijke ontvangsten inzake exogene kosten per tariefcomponent dienen als basis ter bepaling van het saldo inzake exogene kosten m.b.t. distributienettarieven per tariefcomponent in 'TABEL 3B'.</t>
    </r>
  </si>
  <si>
    <r>
      <t xml:space="preserve">Teneinde per tariefcomponent de werkelijke ontvangsten uit periodieke distributienettarieven voor zowel exogene als endogene kosten m.b.t. het boekjaar te kunnen bepalen, dient de distributienetbeheerder op </t>
    </r>
    <r>
      <rPr>
        <b/>
        <sz val="10"/>
        <rFont val="Arial"/>
        <family val="2"/>
      </rPr>
      <t xml:space="preserve">ex-post </t>
    </r>
    <r>
      <rPr>
        <sz val="10"/>
        <rFont val="Arial"/>
        <family val="2"/>
      </rPr>
      <t>basis in deze tabel per tariefcomponent de werkelijke ontvangsten uit periodieke distributienettarieven (elektriciteit - injectie) te rapporteren. 
Vervolgens dient de distributienetbeheerder per tariefcomponent het relatief aandeel van de endogene kosten in de totale werkelijke ontvangsten te bepalen. Dit aandeel kan per tariefcomponent worden afgeleid uit het aandeel van de endogene kosten in 'tabel 3' van het tariefvoorstel m.b.t. het injectietarief. 
Op basis hiervan kunnen dan de werkelijke ontvangsten m.b.t periodieke distributienettarieven (elektriciteit - injectie) voor zowel de endogene kosten als de exogene kosten worden bepaald.
De werkelijke ontvangsten inzake endogene kosten dienen door de distributienetbeheerder per tariefcomponent (uitgezonderd voor het tarief m.b.t. meet- en telactiviteit) in beschouwing worden genomen in 'TABEL 5A' van het rapporteringsmodel. De VREG merkt op dat in 'TABEL 5A' eveneens de werkelijke ontvangsten inzake endogene kosten m.b.t. afname door de distributienetbeheerder per tariefcomponent (uitgezonderd voor het tarief m.b.t. meet- en telactiviteit) in beschouwing moeten worden genomen en dit ter bepaling van de totale werkelijke ontvangsten inzake endogene kosten voor de gereguleerde activiteit elektriciteit.
De werkelijke ontvangsten inzake exogene kosten per tariefcomponent dienen als basis ter bepaling van het saldo inzake exogene kosten m.b.t. distributienettarieven per tariefcomponent in 'TABEL 3B'.</t>
    </r>
  </si>
  <si>
    <t>Indien in een boekjaar periodieke gasdistributienettarieven (afname) van meer dan één tariefvoorstel worden toegepast, zal per tariefcomponent het relatief aandeel van de endogene kosten voor boekjaar 20XX worden bepaald op basis van het pro rata aandeel van de endogene kosten, conform de methodiek zoals beschreven in paragraaf 5.5.6 van de hoofdtekst van de tariefmethodologie. Dit pro rata aandeel wordt aldus bepaald op basis van het aantal kalenderdagen dat de periodieke gasdistributienettarieven (afname) volgens elk van de tariefvoorstellen van kracht waren. Hierbij dient de distributienetbeheerder in een afzonderlijk verklarende nota de detailberekening van het pro rata aandeel van de endogene kosten per tariefcomponent op te geven, d.w.z. dat uit de detailberekening voor elke tariefcomponent duidelijk dient te zijn wat het aandeel van de endogene kosten in elk van de toepasselijke tariefvoorstellen was en hoeveel kalenderdagen de tarieven uit elk van de tariefvoorstellen van kracht waren in boekjaar 20XX.</t>
  </si>
  <si>
    <t>Saldo inzake 'beheersbare' kosten</t>
  </si>
  <si>
    <t>Deze tabel laat een jaarlijkse vergelijking toe tussen de door de Vlaamse Overheid (via VEA) uitbetaalde kapitaalkostvergoeding i.h.k.v. werkelijke externe financieringskosten m.b.t. de geïmmobiliseerde groenestroom- en warmtekrachtcertificaten en de vergoeding die in de tariefmethodologie 2015-2016 van de VREG werd voorzien voor de financieringskost van deze certificaten in boekjaar 2016. In het geval dat de in boekjaar 20XX uitbetaalde vergoeding voor de werkelijke externe financieringskosten van de geïmmobiliseerde certificaten door de Vlaamse Overheid werd geplafonneerd en lager ligt dan de kapitaalkostvergoeding die in de tariefmethodologie 2015-2016 werd voorzien voor boekjaar 2016, wordt het verschil tussen beide als een exogene kost beschouwd.</t>
  </si>
  <si>
    <r>
      <t xml:space="preserve">Gelieve </t>
    </r>
    <r>
      <rPr>
        <b/>
        <i/>
        <sz val="10"/>
        <rFont val="Arial"/>
        <family val="2"/>
      </rPr>
      <t>positieve</t>
    </r>
    <r>
      <rPr>
        <i/>
        <sz val="10"/>
        <rFont val="Arial"/>
        <family val="2"/>
      </rPr>
      <t xml:space="preserve"> waarden in te geven (voor activa (indien debetsaldo), passiva (indien creditsaldo), kosten (indien debetsaldo) en opbrengsten (indien creditsaldo)).
Deze tabel is enkel van toepassing indien de door de Vlaamse Overheid aan de distributienetbeheerder uitbetaalde kapitaalkostvergoeding voor het boekjaar 2016 pas in een later boekjaar zou volgen.</t>
    </r>
  </si>
  <si>
    <t>Deze tabel laat finaal een jaarlijkse opvolging toe van enerzijds de saldi inzake volumeverschillen m.b.t. inkomsten voor endogene kosten (uitgezonderd volumeverschillen EAN's), die door de VREG werden goedgekeurd, en anderzijds de saldi, die door de distributienetbeheerder jaar na jaar werden ingeboekt. Tenslotte blijkt uit deze tabel eveneens het gedeelte van het saldo dat reeds werd afgebouwd in de daaropvolgende jaren en het gedeelte van het saldo dat nog moet worden afgebouwd.
Ter bepaling van het jaarlijks regulatoir saldo dient de distributienetbeheerder vooreerst echter per tariefcomponent het budget endogene kosten enerzijds en de werkelijk ontvangsten m.b.t. endogene kosten anderzijds te rapporteren.</t>
  </si>
  <si>
    <r>
      <t xml:space="preserve">Teneinde per tariefcomponent de werkelijke ontvangsten uit periodieke nettarieven voor zowel exogene als endogene kosten m.b.t. het boekjaar te kunnen bepalen, dient de distributienetbeheerder op </t>
    </r>
    <r>
      <rPr>
        <b/>
        <sz val="10"/>
        <rFont val="Arial"/>
        <family val="2"/>
      </rPr>
      <t xml:space="preserve">ex-post </t>
    </r>
    <r>
      <rPr>
        <sz val="10"/>
        <rFont val="Arial"/>
        <family val="2"/>
      </rPr>
      <t>basis in deze tabel per tariefcomponent de werkelijke ontvangsten uit periodieke nettarieven (elektriciteit - afname) te rapporteren. Dit houdt zowel de werkelijke ontvangsten uit de distributienettarieven (elektriciteit - afname) als de transmissienettarieven in. 
Vervolgens dient de distributienetbeheerder per tariefcomponent het relatief aandeel van de endogene kosten in de totale werkelijke ontvangsten te bepalen. Dit aandeel kan per tariefcomponent worden afgeleid uit het aandeel van de endogene kosten in 'tabel 3' van het tariefvoorstel m.b.t. het afnametarief. 
Op basis hiervan kunnen dan de werkelijke ontvangsten m.b.t periodieke distributienettarieven (elektriciteit - afname) en transmissienettarieven voor zowel de endogene kosten als de exogene kosten worden bepaald.
De werkelijke ontvangsten inzake endogene kosten dienen door de distributienetbeheerder per tariefcomponent (uitgezonderd voor het tarief m.b.t. meet- en telactiviteit) in beschouwing worden genomen in 'TABEL 5A' van het rapporteringsmodel. De VREG merkt op dat in 'TABEL 5A' eveneens de werkelijke ontvangsten inzake endogene kosten m.b.t. injectie door de distributienetbeheerder per tariefcomponent (uitgezonderd voor het tarief m.b.t. meet- en telactiviteit) in beschouwing moeten worden genomen en dit ter bepaling van de totale werkelijke ontvangsten inzake endogene kosten voor de gereguleerde activiteit elektriciteit.
De werkelijke ontvangsten inzake exogene kosten per tariefcomponent dienen als basis ter bepaling van het saldo inzake exogene kosten per tariefcomponent in 'TABEL 3B'.</t>
    </r>
  </si>
  <si>
    <t>De eventuele, geheel of gedeeltelijke, terugname van een eerder toegekend voorschot door de VREG en opgenomen in het tariefvoorstel</t>
  </si>
  <si>
    <t>Deze tabel laat finaal een jaarlijkse opvolging toe van enerzijds de saldi inzake herindexering van het budget voor endogene kosten, die door de VREG werden goedgekeurd, en anderzijds de saldi, die door de distributienetbeheerder jaar na jaar werden ingeboekt. Tenslotte blijkt uit deze tabel eveneens het gedeelte van het saldo dat reeds werd afgebouwd in de daaropvolgende jaren en het gedeelte van het saldo dat nog moet worden afgebouwd.
Ter bepaling van het jaarlijks regulatoir saldo wordt vooreerst per tariefcomponent het in 'tabel 5A' jaarlijks gerapporteerde budget endogene kosten automatisch overgenomen. Enkel inzake het tarief voor de meet- en telactiviteit dient de distributienetbeheerder nog het budget endogene kosten voor het betreffende boekjaar te rapporteren. Verder wordt door de VREG het voor het betreffende boekjaar toegelaten inkomen inzake de ex-ante correctie m.b.t. de vennootschapsbelasting in rekening genomen. Vervolgens dient de distributienetbeheerder per tariefcomponent het eventueel voorschot te rapporteren zoals toegekend door de VREG voor het betreffende boekjaar alsook de eventuele, geheel of gedeeltelijke, terugname van een voorschot dat eerder door de VREG werd toegekend. Ook neemt de VREG de inflatie jaar op jaar voor de maand juli van het betreffende boekjaar, die in het vorige boekjaar werd verwacht, in rekening alsook de werkelijke jaar op jaar inflatie voor de maand juli van het boekjaar. Tenslotte worden door de VREG ook de x-waarde en de q-waarde van de distributienetbeheerder in rekening gebracht. Uit deze parameters kan dan het regulatoir saldo inzake herindexering van het budget endogene kosten worden bepaald.</t>
  </si>
  <si>
    <t>6.</t>
  </si>
  <si>
    <t>Bepaling van het af te bouwen regulatoir saldo over boekjaar:</t>
  </si>
  <si>
    <t>Regulatoir saldo ontstaan in boekjaar</t>
  </si>
  <si>
    <t>Afbouw regulatoir saldo op te nemen in het toegelaten inkomen van boekjaar:</t>
  </si>
  <si>
    <r>
      <t xml:space="preserve">Deze tabel geeft een gedetailleerd overzicht van de jaarlijkse regulatoire saldi inzake exogene kosten m.b.t. distributienettarieven, opgesplitst per tariefcomponent. Hierbij krijgt de VREG per tariefcomponent een inzicht in zowel het jaarlijks geboekte saldo, het jaarlijks reeds afgebouwde gedeelte van het saldo en het jaarlijks nog af te bouwen gedeelte van het saldo.
Onderaan deze tabel wordt eveneens per tariefcomponent bepaald welk gedeelte van het saldo op </t>
    </r>
    <r>
      <rPr>
        <b/>
        <sz val="10"/>
        <rFont val="Arial"/>
        <family val="2"/>
      </rPr>
      <t xml:space="preserve">ex-ante </t>
    </r>
    <r>
      <rPr>
        <sz val="10"/>
        <rFont val="Arial"/>
        <family val="2"/>
      </rPr>
      <t xml:space="preserve">basis in het toegelaten inkomen van het betreffende boekjaar wordt opgenomen. </t>
    </r>
  </si>
  <si>
    <r>
      <t xml:space="preserve">Deze tabel geeft een gedetailleerd overzicht van de jaarlijkse regulatoire saldi inzake volumeverschillen m.b.t. inkomsten voor endogene kosten (uitgezonderd volumeverschillen EAN's), opgesplitst per tariefcomponent. Hierbij krijgt de VREG per tariefcomponent een inzicht in zowel het jaarlijks geboekte saldo, het jaarlijks reeds afgebouwde gedeelte van het saldo en het jaarlijks nog af te bouwen gedeelte van het saldo.
Onderaan deze tabel wordt eveneens per tariefcomponent bepaald welk gedeelte van het saldo op </t>
    </r>
    <r>
      <rPr>
        <b/>
        <sz val="10"/>
        <rFont val="Arial"/>
        <family val="2"/>
      </rPr>
      <t>ex-ante</t>
    </r>
    <r>
      <rPr>
        <sz val="10"/>
        <rFont val="Arial"/>
        <family val="2"/>
      </rPr>
      <t xml:space="preserve"> basis in het toegelaten inkomen van het betreffende boekjaar wordt opgenomen. </t>
    </r>
  </si>
  <si>
    <t xml:space="preserve">Deze tabel geeft een gedetailleerd overzicht van de jaarlijkse regulatoire saldi inzake herindexering van het budget voor endogene kosten, opgesplitst per tariefcomponent. Hierbij krijgt de VREG per tariefcomponent een inzicht in zowel het jaarlijks geboekte saldo, het jaarlijks reeds afgebouwde gedeelte van het saldo en het jaarlijks nog af te bouwen gedeelte van het saldo.
Onderaan deze tabel wordt eveneens per tariefcomponent bepaald welk gedeelte van het saldo op ex-ante basis in het toegelaten inkomen van het betreffende boekjaar wordt opgenomen. </t>
  </si>
  <si>
    <t>OVERLOPENDE REKENINGEN</t>
  </si>
  <si>
    <t>BEPALING VAN HET AF TE BOUWEN REGULATOIR SALDO</t>
  </si>
  <si>
    <r>
      <t xml:space="preserve">Deze tabel laat een jaarlijkse opvolging toe van enerzijds de saldi inzake de exogene kosten m.b.t. transmissienettarieven, die door de VREG werden goedgekeurd, en anderzijds de saldi, die door de distributienetbeheerder jaar na jaar werden ingeboekt. Tenslotte blijkt uit deze tabel eveneens het gedeelte van het saldo dat reeds werd afgebouwd in de daaropvolgende jaren, het gedeelte van het saldo dat nog moet worden afgebouwd en het gedeelte van het saldo dat op </t>
    </r>
    <r>
      <rPr>
        <b/>
        <sz val="10"/>
        <rFont val="Arial"/>
        <family val="2"/>
      </rPr>
      <t xml:space="preserve">ex-ante </t>
    </r>
    <r>
      <rPr>
        <sz val="10"/>
        <rFont val="Arial"/>
        <family val="2"/>
      </rPr>
      <t>basis in het toegelaten inkomen van het betreffende boekjaar wordt opgenomen</t>
    </r>
    <r>
      <rPr>
        <sz val="10"/>
        <rFont val="Arial"/>
        <family val="2"/>
      </rPr>
      <t>.</t>
    </r>
  </si>
  <si>
    <r>
      <t xml:space="preserve">Deze tabel laat een jaarlijkse opvolging toe van enerzijds de saldi inzake vennootschapsbelasting, die door de VREG werden goedgekeurd, en anderzijds de saldi, die door de distributienetbeheerder jaar na jaar werden ingeboekt. Tenslotte blijkt uit deze tabel eveneens het gedeelte van het saldo dat reeds werd afgebouwd in de daaropvolgende jaren, het gedeelte van het saldo dat nog moet worden afgebouwd en het gedeelte van het saldo dat op </t>
    </r>
    <r>
      <rPr>
        <b/>
        <sz val="10"/>
        <rFont val="Arial"/>
        <family val="2"/>
      </rPr>
      <t>ex-ante</t>
    </r>
    <r>
      <rPr>
        <sz val="10"/>
        <rFont val="Arial"/>
        <family val="2"/>
      </rPr>
      <t xml:space="preserve"> basis in het toegelaten inkomen van het betreffende boekjaar wordt opgenomen. 
De afbouw van dit saldo wordt integraal aan het 'basistarief voor het gebruik van het net' toegewezen. De VREG merkt tevens op dat pas vanaf het toegelaten inkomen voor het boekjaar 2019 kan gestart worden met de afbouw van dit saldo.</t>
    </r>
  </si>
  <si>
    <t>elektriciteit</t>
  </si>
  <si>
    <t>TABEL 8: Overzicht afbouw saldi voor 'niet-beheersbare' kosten per tariefcomponent en saldi voor 'beheersbare' kosten m.b.t. exploitatiejaren 2010-2014</t>
  </si>
  <si>
    <t>Saldo door afwijking tussen geherindexeerd budget en werkelijkheid</t>
  </si>
  <si>
    <t>[Deze tabel geeft een overzicht van de saldi voor 'niet-beheersbare' kosten voor de periode 2010-2014 met daarbij een onderverdeling per tariefcomponent. Hierbij krijgt de VREG per tariefcomponent een inzicht in zowel het jaarlijks saldo voor 'niet-beheersbare' kosten, het jaarlijks reeds afgebouwde gedeelte en het jaarlijks nog af te bouwen gedeelte.
Onderaan deze tabel dient de distributienetbeheerder eveneens per tariefcomponent te rapporteren welk gedeelte van het saldo voor de periode 2010-2014 op ex-ante basis in het toegelaten inkomen van het betreffende boekjaar moet worden opgenomen.
Verder wordt ook een overzicht gegeven van het saldo voor 'beheersbare' kosten voor de periode 2010-2014.]
[...]</t>
  </si>
  <si>
    <t>Toegevoegd en geschrapt bij beslissing van de VREG van 6 juli 2018.</t>
  </si>
  <si>
    <t>TABEL 8: Overzicht afbouw […] [saldi voor 'niet-beheersbare' kosten per tariefcomponent en saldi voor 'beheersbare' kosten m.b.t. exploitatiejaren 2010-2014]</t>
  </si>
  <si>
    <t xml:space="preserve">[…] </t>
  </si>
  <si>
    <t xml:space="preserve">[Door de gewestgrensoverschrijdende distributienetbeheerders dient hierbij enkel het gedeelte voor Vlaanderen in rekening worden genomen.]
</t>
  </si>
  <si>
    <t>[…] [Exploitatiesaldo voor 'niet-beheersbare' kosten per tariefcomponent]</t>
  </si>
  <si>
    <t>[… [Afgebouwd exploitatiesaldo voor 'niet-beheersbare' kosten per tariefcomponent]</t>
  </si>
  <si>
    <t>[Totaal afgebouwd exploitatiesaldo voor 'niet-beheersbare' kosten] […]</t>
  </si>
  <si>
    <t>[…] [Nog af te bouwen exploitatiesaldo voor 'niet-beheersbare' kosten per tariefcomponent]</t>
  </si>
  <si>
    <t>Totaal nog af te bouwen [exploitatiesaldo voor 'niet-beheersbare' kosten]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</si>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</sst>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 _€_-;\-* #,##0.00\ _€_-;_-* &quot;-&quot;??\ _€_-;_-@_-"/>
    <numFmt numFmtId="164" formatCode="#,##0.00\ &quot;€&quot;"/>
    <numFmt numFmtId="165" formatCode="#,##0.0000"/>
    <numFmt numFmtId="166" formatCode="#,##0.00000"/>
    <numFmt numFmtId="167" formatCode="#,##0.000000"/>
    <numFmt numFmtId="168" formatCode="#,##0.0000000000000"/>
    <numFmt numFmtId="169" formatCode="0.00000000000%"/>
  </numFmts>
  <fonts count="89" x14ac:knownFonts="1">
    <font>
      <sz val="10"/>
      <name val="Arial"/>
      <family val="2"/>
    </font>
    <font>
      <sz val="11"/>
      <color indexed="8"/>
      <name val="Calibri"/>
      <family val="2"/>
    </font>
    <font>
      <sz val="10"/>
      <name val="Arial"/>
      <family val="2"/>
    </font>
    <font>
      <b/>
      <sz val="12"/>
      <name val="Arial"/>
      <family val="2"/>
    </font>
    <font>
      <b/>
      <u/>
      <sz val="10"/>
      <name val="Arial"/>
      <family val="2"/>
    </font>
    <font>
      <i/>
      <sz val="10"/>
      <name val="Arial"/>
      <family val="2"/>
    </font>
    <font>
      <b/>
      <sz val="10"/>
      <name val="Arial"/>
      <family val="2"/>
    </font>
    <font>
      <sz val="10"/>
      <color indexed="8"/>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20"/>
      <color indexed="9"/>
      <name val="Arial"/>
      <family val="2"/>
    </font>
    <font>
      <b/>
      <u/>
      <sz val="14"/>
      <name val="Arial"/>
      <family val="2"/>
    </font>
    <font>
      <sz val="11"/>
      <name val="Arial"/>
      <family val="2"/>
    </font>
    <font>
      <b/>
      <sz val="11"/>
      <name val="Arial"/>
      <family val="2"/>
    </font>
    <font>
      <u/>
      <sz val="11"/>
      <name val="Arial"/>
      <family val="2"/>
    </font>
    <font>
      <u/>
      <sz val="10"/>
      <color indexed="12"/>
      <name val="Arial"/>
      <family val="2"/>
    </font>
    <font>
      <b/>
      <i/>
      <sz val="10"/>
      <name val="Arial"/>
      <family val="2"/>
    </font>
    <font>
      <b/>
      <sz val="14"/>
      <name val="Arial"/>
      <family val="2"/>
    </font>
    <font>
      <b/>
      <sz val="8"/>
      <name val="Arial"/>
      <family val="2"/>
    </font>
    <font>
      <b/>
      <u/>
      <sz val="12"/>
      <name val="Arial"/>
      <family val="2"/>
    </font>
    <font>
      <b/>
      <sz val="13"/>
      <name val="Arial"/>
      <family val="2"/>
    </font>
    <font>
      <b/>
      <sz val="10"/>
      <color indexed="10"/>
      <name val="Arial"/>
      <family val="2"/>
    </font>
    <font>
      <i/>
      <sz val="9"/>
      <name val="Arial"/>
      <family val="2"/>
    </font>
    <font>
      <b/>
      <u/>
      <sz val="11"/>
      <name val="Arial"/>
      <family val="2"/>
    </font>
    <font>
      <b/>
      <i/>
      <sz val="12"/>
      <name val="Arial"/>
      <family val="2"/>
    </font>
    <font>
      <sz val="12"/>
      <name val="Arial"/>
      <family val="2"/>
    </font>
    <font>
      <sz val="14"/>
      <name val="Arial"/>
      <family val="2"/>
    </font>
    <font>
      <sz val="8"/>
      <name val="Arial"/>
      <family val="2"/>
    </font>
    <font>
      <sz val="10"/>
      <name val="Arial"/>
      <family val="2"/>
    </font>
    <font>
      <sz val="10"/>
      <color indexed="8"/>
      <name val="MS Sans Serif"/>
      <family val="2"/>
    </font>
    <font>
      <sz val="13"/>
      <name val="Arial"/>
      <family val="2"/>
    </font>
    <font>
      <sz val="9"/>
      <name val="Arial"/>
      <family val="2"/>
    </font>
    <font>
      <sz val="10"/>
      <name val="Tahoma"/>
      <family val="2"/>
    </font>
    <font>
      <sz val="10"/>
      <color indexed="8"/>
      <name val="Tahoma"/>
      <family val="2"/>
    </font>
    <font>
      <i/>
      <sz val="8"/>
      <name val="Arial"/>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u/>
      <sz val="8"/>
      <name val="Arial"/>
      <family val="2"/>
    </font>
    <font>
      <u/>
      <sz val="10"/>
      <name val="Arial"/>
      <family val="2"/>
    </font>
    <font>
      <sz val="10"/>
      <color indexed="12"/>
      <name val="Arial"/>
      <family val="2"/>
    </font>
    <font>
      <b/>
      <u/>
      <sz val="9"/>
      <name val="Arial"/>
      <family val="2"/>
    </font>
    <font>
      <b/>
      <sz val="18"/>
      <color indexed="62"/>
      <name val="Cambria"/>
      <family val="2"/>
    </font>
    <font>
      <strike/>
      <sz val="10"/>
      <name val="Arial"/>
      <family val="2"/>
    </font>
    <font>
      <b/>
      <vertAlign val="subscript"/>
      <sz val="10"/>
      <name val="Arial"/>
      <family val="2"/>
    </font>
    <font>
      <sz val="11"/>
      <color theme="1"/>
      <name val="Calibri"/>
      <family val="2"/>
      <scheme val="minor"/>
    </font>
    <font>
      <b/>
      <sz val="8"/>
      <color theme="4" tint="-0.249977111117893"/>
      <name val="Arial"/>
      <family val="2"/>
    </font>
    <font>
      <sz val="10"/>
      <color theme="4" tint="-0.249977111117893"/>
      <name val="Arial"/>
      <family val="2"/>
    </font>
    <font>
      <b/>
      <i/>
      <sz val="12"/>
      <color theme="4" tint="-0.249977111117893"/>
      <name val="Arial"/>
      <family val="2"/>
    </font>
    <font>
      <b/>
      <sz val="12"/>
      <color theme="4" tint="-0.249977111117893"/>
      <name val="Arial"/>
      <family val="2"/>
    </font>
    <font>
      <i/>
      <sz val="10"/>
      <color theme="4" tint="-0.249977111117893"/>
      <name val="Arial"/>
      <family val="2"/>
    </font>
    <font>
      <b/>
      <sz val="10"/>
      <color theme="4" tint="-0.249977111117893"/>
      <name val="Arial"/>
      <family val="2"/>
    </font>
    <font>
      <sz val="10"/>
      <color theme="0"/>
      <name val="Arial"/>
      <family val="2"/>
    </font>
    <font>
      <b/>
      <u/>
      <sz val="12"/>
      <color theme="0"/>
      <name val="Arial"/>
      <family val="2"/>
    </font>
    <font>
      <b/>
      <sz val="8"/>
      <color theme="0"/>
      <name val="Arial"/>
      <family val="2"/>
    </font>
    <font>
      <sz val="8"/>
      <color theme="0"/>
      <name val="Arial"/>
      <family val="2"/>
    </font>
    <font>
      <b/>
      <sz val="12"/>
      <color theme="0"/>
      <name val="Arial"/>
      <family val="2"/>
    </font>
    <font>
      <sz val="14"/>
      <color theme="0"/>
      <name val="Arial"/>
      <family val="2"/>
    </font>
    <font>
      <sz val="10"/>
      <color theme="5" tint="0.39997558519241921"/>
      <name val="Arial"/>
      <family val="2"/>
    </font>
    <font>
      <sz val="10"/>
      <color rgb="FF00B050"/>
      <name val="Arial"/>
      <family val="2"/>
    </font>
    <font>
      <b/>
      <sz val="10"/>
      <color rgb="FF00B050"/>
      <name val="Arial"/>
      <family val="2"/>
    </font>
    <font>
      <sz val="11"/>
      <color rgb="FF000000"/>
      <name val="Calibri"/>
      <family val="2"/>
    </font>
    <font>
      <sz val="11"/>
      <color rgb="FF00B050"/>
      <name val="Arial"/>
      <family val="2"/>
    </font>
    <font>
      <i/>
      <sz val="10"/>
      <color rgb="FF00B050"/>
      <name val="Arial"/>
      <family val="2"/>
    </font>
    <font>
      <i/>
      <sz val="10"/>
      <color theme="0"/>
      <name val="Arial"/>
      <family val="2"/>
    </font>
    <font>
      <b/>
      <sz val="8"/>
      <color rgb="FFFF0000"/>
      <name val="Arial"/>
      <family val="2"/>
    </font>
    <font>
      <sz val="10"/>
      <color rgb="FFFF0000"/>
      <name val="Arial"/>
      <family val="2"/>
    </font>
    <font>
      <b/>
      <sz val="14"/>
      <color rgb="FFFF0000"/>
      <name val="Arial"/>
      <family val="2"/>
    </font>
    <font>
      <u/>
      <sz val="10"/>
      <color rgb="FF00B050"/>
      <name val="Arial"/>
      <family val="2"/>
    </font>
    <font>
      <i/>
      <strike/>
      <sz val="10"/>
      <color rgb="FF00B050"/>
      <name val="Arial"/>
      <family val="2"/>
    </font>
    <font>
      <b/>
      <strike/>
      <sz val="10"/>
      <color rgb="FF00B050"/>
      <name val="Arial"/>
      <family val="2"/>
    </font>
    <font>
      <strike/>
      <sz val="10"/>
      <color rgb="FF00B050"/>
      <name val="Arial"/>
      <family val="2"/>
    </font>
    <font>
      <b/>
      <i/>
      <strike/>
      <sz val="10"/>
      <color rgb="FF00B050"/>
      <name val="Arial"/>
      <family val="2"/>
    </font>
  </fonts>
  <fills count="40">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lightUp"/>
    </fill>
    <fill>
      <patternFill patternType="solid">
        <fgColor rgb="FFFFFFB3"/>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lightUp">
        <bgColor theme="0"/>
      </patternFill>
    </fill>
    <fill>
      <patternFill patternType="solid">
        <fgColor theme="3" tint="0.79995117038483843"/>
        <bgColor indexed="64"/>
      </patternFill>
    </fill>
    <fill>
      <patternFill patternType="solid">
        <fgColor rgb="FFFFFFCC"/>
        <bgColor indexed="64"/>
      </patternFill>
    </fill>
    <fill>
      <patternFill patternType="lightUp">
        <bgColor rgb="FFFFFFB3"/>
      </patternFill>
    </fill>
    <fill>
      <patternFill patternType="solid">
        <fgColor theme="0" tint="-0.14999847407452621"/>
        <bgColor indexed="64"/>
      </patternFill>
    </fill>
  </fills>
  <borders count="10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bottom/>
      <diagonal/>
    </border>
    <border>
      <left style="medium">
        <color indexed="64"/>
      </left>
      <right/>
      <top/>
      <bottom/>
      <diagonal/>
    </border>
    <border>
      <left/>
      <right/>
      <top/>
      <bottom style="medium">
        <color indexed="64"/>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94">
    <xf numFmtId="0" fontId="0" fillId="0" borderId="0"/>
    <xf numFmtId="0" fontId="2" fillId="0" borderId="0"/>
    <xf numFmtId="0" fontId="48" fillId="2" borderId="0" applyNumberFormat="0" applyBorder="0" applyAlignment="0" applyProtection="0"/>
    <xf numFmtId="0" fontId="39" fillId="12" borderId="1" applyNumberFormat="0" applyAlignment="0" applyProtection="0"/>
    <xf numFmtId="0" fontId="40" fillId="13"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52" fillId="0" borderId="0" applyNumberFormat="0" applyFill="0" applyBorder="0" applyAlignment="0" applyProtection="0"/>
    <xf numFmtId="0" fontId="42" fillId="3" borderId="0" applyNumberFormat="0" applyBorder="0" applyAlignment="0" applyProtection="0"/>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19" fillId="0" borderId="0" applyNumberFormat="0" applyFill="0" applyBorder="0" applyAlignment="0" applyProtection="0">
      <alignment vertical="top"/>
      <protection locked="0"/>
    </xf>
    <xf numFmtId="0" fontId="43" fillId="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41" fillId="0" borderId="3" applyNumberFormat="0" applyFill="0" applyAlignment="0" applyProtection="0"/>
    <xf numFmtId="43" fontId="2" fillId="0" borderId="0" applyFont="0" applyFill="0" applyBorder="0" applyAlignment="0" applyProtection="0"/>
    <xf numFmtId="43" fontId="61" fillId="0" borderId="0" applyFont="0" applyFill="0" applyBorder="0" applyAlignment="0" applyProtection="0"/>
    <xf numFmtId="43" fontId="2" fillId="0" borderId="0" applyFont="0" applyFill="0" applyBorder="0" applyAlignment="0" applyProtection="0"/>
    <xf numFmtId="0" fontId="47" fillId="14" borderId="0" applyNumberFormat="0" applyBorder="0" applyAlignment="0" applyProtection="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 fillId="0" borderId="0"/>
    <xf numFmtId="0" fontId="61" fillId="0" borderId="0"/>
    <xf numFmtId="0" fontId="61" fillId="0" borderId="0"/>
    <xf numFmtId="0" fontId="61" fillId="0" borderId="0"/>
    <xf numFmtId="0" fontId="61" fillId="0" borderId="0"/>
    <xf numFmtId="0" fontId="61" fillId="0" borderId="0"/>
    <xf numFmtId="0" fontId="2" fillId="0" borderId="0"/>
    <xf numFmtId="0" fontId="2" fillId="0" borderId="0"/>
    <xf numFmtId="0" fontId="2" fillId="15" borderId="7" applyNumberFormat="0" applyFont="0" applyAlignment="0" applyProtection="0"/>
    <xf numFmtId="0" fontId="51" fillId="12"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1" fillId="0" borderId="0" applyFont="0" applyFill="0" applyBorder="0" applyAlignment="0" applyProtection="0"/>
    <xf numFmtId="4" fontId="8" fillId="14" borderId="9" applyNumberFormat="0" applyProtection="0">
      <alignment vertical="center"/>
    </xf>
    <xf numFmtId="4" fontId="9" fillId="16" borderId="9" applyNumberFormat="0" applyProtection="0">
      <alignment vertical="center"/>
    </xf>
    <xf numFmtId="4" fontId="8" fillId="16" borderId="9" applyNumberFormat="0" applyProtection="0">
      <alignment horizontal="left" vertical="center" indent="1"/>
    </xf>
    <xf numFmtId="0" fontId="8" fillId="16" borderId="9" applyNumberFormat="0" applyProtection="0">
      <alignment horizontal="left" vertical="top" indent="1"/>
    </xf>
    <xf numFmtId="4" fontId="8" fillId="17" borderId="0" applyNumberFormat="0" applyProtection="0">
      <alignment horizontal="left" vertical="center" indent="1"/>
    </xf>
    <xf numFmtId="4" fontId="8" fillId="18" borderId="0" applyNumberFormat="0" applyProtection="0">
      <alignment horizontal="left" vertical="center" indent="1"/>
    </xf>
    <xf numFmtId="4" fontId="7" fillId="2" borderId="9" applyNumberFormat="0" applyProtection="0">
      <alignment horizontal="right" vertical="center"/>
    </xf>
    <xf numFmtId="4" fontId="7" fillId="5" borderId="9" applyNumberFormat="0" applyProtection="0">
      <alignment horizontal="right" vertical="center"/>
    </xf>
    <xf numFmtId="4" fontId="7" fillId="9" borderId="9" applyNumberFormat="0" applyProtection="0">
      <alignment horizontal="right" vertical="center"/>
    </xf>
    <xf numFmtId="4" fontId="7" fillId="7" borderId="9" applyNumberFormat="0" applyProtection="0">
      <alignment horizontal="right" vertical="center"/>
    </xf>
    <xf numFmtId="4" fontId="7" fillId="8" borderId="9" applyNumberFormat="0" applyProtection="0">
      <alignment horizontal="right" vertical="center"/>
    </xf>
    <xf numFmtId="4" fontId="7" fillId="11" borderId="9" applyNumberFormat="0" applyProtection="0">
      <alignment horizontal="right" vertical="center"/>
    </xf>
    <xf numFmtId="4" fontId="7" fillId="10" borderId="9" applyNumberFormat="0" applyProtection="0">
      <alignment horizontal="right" vertical="center"/>
    </xf>
    <xf numFmtId="4" fontId="7" fillId="19" borderId="9" applyNumberFormat="0" applyProtection="0">
      <alignment horizontal="right" vertical="center"/>
    </xf>
    <xf numFmtId="4" fontId="7" fillId="6" borderId="9" applyNumberFormat="0" applyProtection="0">
      <alignment horizontal="right" vertical="center"/>
    </xf>
    <xf numFmtId="4" fontId="8" fillId="20" borderId="10" applyNumberFormat="0" applyProtection="0">
      <alignment horizontal="left" vertical="center" indent="1"/>
    </xf>
    <xf numFmtId="4" fontId="7" fillId="21" borderId="0" applyNumberFormat="0" applyProtection="0">
      <alignment horizontal="left" vertical="center" indent="1"/>
    </xf>
    <xf numFmtId="4" fontId="10" fillId="22" borderId="0" applyNumberFormat="0" applyProtection="0">
      <alignment horizontal="left" vertical="center" indent="1"/>
    </xf>
    <xf numFmtId="4" fontId="7" fillId="18" borderId="9" applyNumberFormat="0" applyProtection="0">
      <alignment horizontal="right" vertical="center"/>
    </xf>
    <xf numFmtId="4" fontId="7" fillId="21" borderId="0" applyNumberFormat="0" applyProtection="0">
      <alignment horizontal="left" vertical="center" indent="1"/>
    </xf>
    <xf numFmtId="4" fontId="7" fillId="17" borderId="0" applyNumberFormat="0" applyProtection="0">
      <alignment horizontal="left" vertical="center" indent="1"/>
    </xf>
    <xf numFmtId="0" fontId="2" fillId="22" borderId="9" applyNumberFormat="0" applyProtection="0">
      <alignment horizontal="left" vertical="center" indent="1"/>
    </xf>
    <xf numFmtId="0" fontId="2" fillId="22" borderId="9" applyNumberFormat="0" applyProtection="0">
      <alignment horizontal="left" vertical="top" indent="1"/>
    </xf>
    <xf numFmtId="0" fontId="2" fillId="17" borderId="9" applyNumberFormat="0" applyProtection="0">
      <alignment horizontal="left" vertical="center" indent="1"/>
    </xf>
    <xf numFmtId="0" fontId="2" fillId="17" borderId="9" applyNumberFormat="0" applyProtection="0">
      <alignment horizontal="left" vertical="top" indent="1"/>
    </xf>
    <xf numFmtId="0" fontId="2" fillId="23" borderId="9" applyNumberFormat="0" applyProtection="0">
      <alignment horizontal="left" vertical="center" indent="1"/>
    </xf>
    <xf numFmtId="0" fontId="2" fillId="23" borderId="9" applyNumberFormat="0" applyProtection="0">
      <alignment horizontal="left" vertical="top" indent="1"/>
    </xf>
    <xf numFmtId="0" fontId="2" fillId="24" borderId="9" applyNumberFormat="0" applyProtection="0">
      <alignment horizontal="left" vertical="center" indent="1"/>
    </xf>
    <xf numFmtId="0" fontId="2" fillId="24" borderId="9" applyNumberFormat="0" applyProtection="0">
      <alignment horizontal="left" vertical="top" indent="1"/>
    </xf>
    <xf numFmtId="0" fontId="2" fillId="25" borderId="11" applyNumberFormat="0">
      <protection locked="0"/>
    </xf>
    <xf numFmtId="4" fontId="7" fillId="26" borderId="9" applyNumberFormat="0" applyProtection="0">
      <alignment vertical="center"/>
    </xf>
    <xf numFmtId="4" fontId="11" fillId="26" borderId="9" applyNumberFormat="0" applyProtection="0">
      <alignment vertical="center"/>
    </xf>
    <xf numFmtId="4" fontId="7" fillId="26" borderId="9" applyNumberFormat="0" applyProtection="0">
      <alignment horizontal="left" vertical="center" indent="1"/>
    </xf>
    <xf numFmtId="0" fontId="7" fillId="26" borderId="9" applyNumberFormat="0" applyProtection="0">
      <alignment horizontal="left" vertical="top" indent="1"/>
    </xf>
    <xf numFmtId="4" fontId="7" fillId="21" borderId="9" applyNumberFormat="0" applyProtection="0">
      <alignment horizontal="right" vertical="center"/>
    </xf>
    <xf numFmtId="4" fontId="11" fillId="21" borderId="9" applyNumberFormat="0" applyProtection="0">
      <alignment horizontal="right" vertical="center"/>
    </xf>
    <xf numFmtId="4" fontId="7" fillId="18" borderId="9" applyNumberFormat="0" applyProtection="0">
      <alignment horizontal="left" vertical="center" indent="1"/>
    </xf>
    <xf numFmtId="4" fontId="7" fillId="18" borderId="9" applyNumberFormat="0" applyProtection="0">
      <alignment horizontal="left" vertical="center" indent="1"/>
    </xf>
    <xf numFmtId="0" fontId="7" fillId="17" borderId="9" applyNumberFormat="0" applyProtection="0">
      <alignment horizontal="left" vertical="top" indent="1"/>
    </xf>
    <xf numFmtId="4" fontId="12" fillId="27" borderId="0" applyNumberFormat="0" applyProtection="0">
      <alignment horizontal="left" vertical="center" indent="1"/>
    </xf>
    <xf numFmtId="4" fontId="13" fillId="21" borderId="9" applyNumberFormat="0" applyProtection="0">
      <alignment horizontal="right" vertical="center"/>
    </xf>
    <xf numFmtId="0" fontId="58" fillId="0" borderId="0" applyNumberFormat="0" applyFill="0" applyBorder="0" applyAlignment="0" applyProtection="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61" fillId="0" borderId="0"/>
    <xf numFmtId="0" fontId="2" fillId="0" borderId="0">
      <alignment vertical="top"/>
    </xf>
    <xf numFmtId="0" fontId="1" fillId="0" borderId="0"/>
    <xf numFmtId="0" fontId="2" fillId="0" borderId="0">
      <alignment vertical="top"/>
    </xf>
    <xf numFmtId="0" fontId="2" fillId="0" borderId="0">
      <alignment vertical="top"/>
    </xf>
    <xf numFmtId="0" fontId="32" fillId="0" borderId="0"/>
    <xf numFmtId="0" fontId="2" fillId="0" borderId="0"/>
    <xf numFmtId="0" fontId="2" fillId="0" borderId="0"/>
    <xf numFmtId="0" fontId="33" fillId="0" borderId="0"/>
    <xf numFmtId="0" fontId="2" fillId="0" borderId="0"/>
    <xf numFmtId="0" fontId="2" fillId="0" borderId="0"/>
    <xf numFmtId="0" fontId="7" fillId="0" borderId="0">
      <alignment vertical="top"/>
    </xf>
    <xf numFmtId="0" fontId="7" fillId="0" borderId="0">
      <alignment vertical="top"/>
    </xf>
    <xf numFmtId="0" fontId="49" fillId="0" borderId="0" applyNumberFormat="0" applyFill="0" applyBorder="0" applyAlignment="0" applyProtection="0"/>
    <xf numFmtId="0" fontId="50" fillId="0" borderId="12" applyNumberFormat="0" applyFill="0" applyAlignment="0" applyProtection="0"/>
    <xf numFmtId="44" fontId="2" fillId="0" borderId="0" applyFont="0" applyFill="0" applyBorder="0" applyAlignment="0" applyProtection="0"/>
    <xf numFmtId="0" fontId="53" fillId="0" borderId="0" applyNumberFormat="0" applyFill="0" applyBorder="0" applyAlignment="0" applyProtection="0"/>
  </cellStyleXfs>
  <cellXfs count="1215">
    <xf numFmtId="0" fontId="0" fillId="0" borderId="0" xfId="0"/>
    <xf numFmtId="164" fontId="2" fillId="31" borderId="11" xfId="192" applyNumberFormat="1" applyFont="1" applyFill="1" applyBorder="1" applyAlignment="1" applyProtection="1">
      <alignment vertical="top"/>
      <protection locked="0"/>
    </xf>
    <xf numFmtId="164" fontId="5" fillId="31" borderId="11" xfId="192" applyNumberFormat="1" applyFont="1" applyFill="1" applyBorder="1" applyAlignment="1" applyProtection="1">
      <alignment horizontal="right" vertical="top"/>
      <protection locked="0"/>
    </xf>
    <xf numFmtId="164" fontId="5" fillId="31" borderId="13" xfId="192" applyNumberFormat="1" applyFont="1" applyFill="1" applyBorder="1" applyAlignment="1" applyProtection="1">
      <alignment horizontal="right" vertical="top"/>
      <protection locked="0"/>
    </xf>
    <xf numFmtId="0" fontId="2" fillId="0" borderId="0" xfId="174" applyFont="1" applyProtection="1">
      <protection locked="0"/>
    </xf>
    <xf numFmtId="3" fontId="2" fillId="31" borderId="11" xfId="192" applyNumberFormat="1" applyFont="1" applyFill="1" applyBorder="1" applyAlignment="1" applyProtection="1">
      <alignment vertical="top"/>
      <protection locked="0"/>
    </xf>
    <xf numFmtId="0" fontId="19" fillId="32" borderId="0" xfId="13" applyFill="1" applyAlignment="1" applyProtection="1"/>
    <xf numFmtId="0" fontId="19" fillId="0" borderId="11" xfId="13" applyBorder="1" applyAlignment="1" applyProtection="1">
      <alignment horizontal="center" vertical="center"/>
    </xf>
    <xf numFmtId="0" fontId="2" fillId="0" borderId="0" xfId="171" applyFont="1" applyFill="1" applyProtection="1"/>
    <xf numFmtId="0" fontId="6" fillId="0" borderId="0" xfId="171" applyFont="1" applyFill="1" applyProtection="1"/>
    <xf numFmtId="0" fontId="6" fillId="0" borderId="0" xfId="171" applyFont="1" applyFill="1" applyAlignment="1" applyProtection="1">
      <alignment horizontal="center"/>
    </xf>
    <xf numFmtId="0" fontId="2" fillId="33" borderId="0" xfId="171" applyFont="1" applyFill="1" applyProtection="1"/>
    <xf numFmtId="0" fontId="14" fillId="33" borderId="14" xfId="171" applyFont="1" applyFill="1" applyBorder="1" applyAlignment="1" applyProtection="1"/>
    <xf numFmtId="0" fontId="14" fillId="33" borderId="0" xfId="171" applyFont="1" applyFill="1" applyBorder="1" applyAlignment="1" applyProtection="1"/>
    <xf numFmtId="0" fontId="4" fillId="0" borderId="0" xfId="171" applyFont="1" applyFill="1" applyAlignment="1" applyProtection="1">
      <alignment horizontal="center"/>
    </xf>
    <xf numFmtId="0" fontId="2" fillId="32" borderId="0" xfId="171" applyFont="1" applyFill="1" applyProtection="1"/>
    <xf numFmtId="0" fontId="6" fillId="32" borderId="0" xfId="171" applyFont="1" applyFill="1" applyProtection="1"/>
    <xf numFmtId="44" fontId="2" fillId="32" borderId="15" xfId="192" applyFont="1" applyFill="1" applyBorder="1" applyAlignment="1" applyProtection="1">
      <alignment horizontal="center"/>
    </xf>
    <xf numFmtId="0" fontId="6" fillId="32" borderId="0" xfId="0" applyFont="1" applyFill="1" applyProtection="1"/>
    <xf numFmtId="0" fontId="4" fillId="0" borderId="0" xfId="171" applyFont="1" applyFill="1" applyProtection="1"/>
    <xf numFmtId="0" fontId="0" fillId="32" borderId="0" xfId="0" applyFill="1" applyProtection="1"/>
    <xf numFmtId="0" fontId="0" fillId="32" borderId="0" xfId="0" applyFill="1" applyBorder="1" applyProtection="1"/>
    <xf numFmtId="0" fontId="6" fillId="0" borderId="0" xfId="171" applyFont="1" applyFill="1" applyAlignment="1" applyProtection="1">
      <alignment horizontal="left"/>
    </xf>
    <xf numFmtId="0" fontId="2" fillId="0" borderId="0" xfId="171" applyFont="1" applyFill="1" applyAlignment="1" applyProtection="1">
      <alignment horizontal="left"/>
    </xf>
    <xf numFmtId="0" fontId="16" fillId="0" borderId="0" xfId="171" applyFont="1" applyAlignment="1" applyProtection="1"/>
    <xf numFmtId="0" fontId="2" fillId="0" borderId="0" xfId="171" applyFont="1" applyAlignment="1" applyProtection="1"/>
    <xf numFmtId="0" fontId="2" fillId="0" borderId="0" xfId="171" applyNumberFormat="1" applyFont="1" applyAlignment="1" applyProtection="1"/>
    <xf numFmtId="0" fontId="0" fillId="0" borderId="0" xfId="171" applyNumberFormat="1" applyFont="1" applyAlignment="1" applyProtection="1"/>
    <xf numFmtId="0" fontId="2" fillId="0" borderId="0" xfId="1" applyFont="1" applyProtection="1"/>
    <xf numFmtId="0" fontId="36" fillId="16" borderId="11" xfId="185" applyFont="1" applyFill="1" applyBorder="1" applyProtection="1"/>
    <xf numFmtId="0" fontId="36" fillId="0" borderId="0" xfId="171" applyFont="1" applyFill="1" applyProtection="1"/>
    <xf numFmtId="0" fontId="0" fillId="0" borderId="0" xfId="171" applyFont="1" applyAlignment="1" applyProtection="1"/>
    <xf numFmtId="0" fontId="36" fillId="28" borderId="0" xfId="185" applyFont="1" applyFill="1" applyBorder="1" applyProtection="1"/>
    <xf numFmtId="0" fontId="36" fillId="32" borderId="11" xfId="185" applyFont="1" applyFill="1" applyBorder="1" applyAlignment="1" applyProtection="1">
      <alignment horizontal="left" vertical="top" wrapText="1"/>
    </xf>
    <xf numFmtId="0" fontId="36" fillId="32" borderId="0" xfId="171" applyFont="1" applyFill="1" applyBorder="1" applyProtection="1"/>
    <xf numFmtId="0" fontId="36" fillId="0" borderId="0" xfId="171" applyFont="1" applyFill="1" applyAlignment="1" applyProtection="1"/>
    <xf numFmtId="0" fontId="37" fillId="28" borderId="0" xfId="185" applyFont="1" applyFill="1" applyBorder="1" applyProtection="1"/>
    <xf numFmtId="0" fontId="36" fillId="34" borderId="11" xfId="185" applyFont="1" applyFill="1" applyBorder="1" applyProtection="1"/>
    <xf numFmtId="0" fontId="36" fillId="0" borderId="0" xfId="1" applyFont="1" applyProtection="1"/>
    <xf numFmtId="0" fontId="36" fillId="35" borderId="11" xfId="185" applyFont="1" applyFill="1" applyBorder="1" applyAlignment="1" applyProtection="1">
      <alignment horizontal="left" vertical="top" wrapText="1"/>
    </xf>
    <xf numFmtId="0" fontId="36" fillId="0" borderId="0" xfId="171" applyFont="1" applyFill="1" applyAlignment="1" applyProtection="1">
      <alignment vertical="top"/>
    </xf>
    <xf numFmtId="0" fontId="2" fillId="0" borderId="0" xfId="171" applyFont="1" applyFill="1" applyAlignment="1" applyProtection="1">
      <alignment vertical="top"/>
    </xf>
    <xf numFmtId="0" fontId="0" fillId="0" borderId="0" xfId="171" applyFont="1" applyFill="1" applyProtection="1"/>
    <xf numFmtId="0" fontId="18" fillId="0" borderId="0" xfId="171" applyFont="1" applyAlignment="1" applyProtection="1"/>
    <xf numFmtId="0" fontId="16" fillId="0" borderId="0" xfId="171" applyFont="1" applyProtection="1"/>
    <xf numFmtId="0" fontId="17" fillId="0" borderId="0" xfId="171" applyFont="1" applyAlignment="1" applyProtection="1"/>
    <xf numFmtId="0" fontId="21" fillId="32" borderId="0" xfId="186" applyFont="1" applyFill="1" applyProtection="1"/>
    <xf numFmtId="0" fontId="21" fillId="32" borderId="0" xfId="186" applyFont="1" applyFill="1" applyAlignment="1" applyProtection="1">
      <alignment horizontal="center"/>
    </xf>
    <xf numFmtId="0" fontId="0" fillId="32" borderId="0" xfId="0" applyFill="1" applyAlignment="1" applyProtection="1">
      <alignment vertical="top"/>
    </xf>
    <xf numFmtId="0" fontId="4" fillId="32" borderId="0" xfId="0" applyFont="1" applyFill="1" applyAlignment="1" applyProtection="1">
      <alignment vertical="top" wrapText="1"/>
    </xf>
    <xf numFmtId="0" fontId="0" fillId="32" borderId="0" xfId="0" applyFill="1" applyAlignment="1" applyProtection="1">
      <alignment horizontal="center" vertical="top"/>
    </xf>
    <xf numFmtId="0" fontId="5" fillId="32" borderId="0" xfId="0" applyFont="1" applyFill="1" applyAlignment="1" applyProtection="1">
      <alignment vertical="top"/>
    </xf>
    <xf numFmtId="0" fontId="6" fillId="32" borderId="0" xfId="186" applyFont="1" applyFill="1" applyProtection="1"/>
    <xf numFmtId="0" fontId="6" fillId="32" borderId="0" xfId="186" applyFont="1" applyFill="1" applyAlignment="1" applyProtection="1">
      <alignment horizontal="center"/>
    </xf>
    <xf numFmtId="0" fontId="2" fillId="32" borderId="0" xfId="186" applyFont="1" applyFill="1" applyProtection="1"/>
    <xf numFmtId="0" fontId="2" fillId="32" borderId="0" xfId="186" applyFont="1" applyFill="1" applyAlignment="1" applyProtection="1">
      <alignment horizontal="center"/>
    </xf>
    <xf numFmtId="4" fontId="35" fillId="32" borderId="0" xfId="186" applyNumberFormat="1" applyFont="1" applyFill="1" applyBorder="1" applyProtection="1"/>
    <xf numFmtId="4" fontId="4" fillId="32" borderId="16" xfId="186" applyNumberFormat="1" applyFont="1" applyFill="1" applyBorder="1" applyAlignment="1" applyProtection="1">
      <alignment horizontal="centerContinuous" vertical="center"/>
    </xf>
    <xf numFmtId="4" fontId="4" fillId="32" borderId="0" xfId="186" applyNumberFormat="1" applyFont="1" applyFill="1" applyBorder="1" applyAlignment="1" applyProtection="1">
      <alignment horizontal="centerContinuous" vertical="center"/>
    </xf>
    <xf numFmtId="4" fontId="4" fillId="32" borderId="0" xfId="186" applyNumberFormat="1" applyFont="1" applyFill="1" applyBorder="1" applyAlignment="1" applyProtection="1">
      <alignment horizontal="centerContinuous"/>
    </xf>
    <xf numFmtId="4" fontId="4" fillId="32" borderId="17" xfId="186" applyNumberFormat="1" applyFont="1" applyFill="1" applyBorder="1" applyAlignment="1" applyProtection="1">
      <alignment horizontal="center"/>
    </xf>
    <xf numFmtId="4" fontId="6" fillId="32" borderId="18" xfId="186" applyNumberFormat="1" applyFont="1" applyFill="1" applyBorder="1" applyAlignment="1" applyProtection="1">
      <alignment horizontal="center" vertical="center" wrapText="1"/>
    </xf>
    <xf numFmtId="4" fontId="6" fillId="32" borderId="18" xfId="186" applyNumberFormat="1" applyFont="1" applyFill="1" applyBorder="1" applyAlignment="1" applyProtection="1">
      <alignment horizontal="center" vertical="center"/>
    </xf>
    <xf numFmtId="4" fontId="6" fillId="32" borderId="17" xfId="186" applyNumberFormat="1" applyFont="1" applyFill="1" applyBorder="1" applyAlignment="1" applyProtection="1">
      <alignment horizontal="center" vertical="center"/>
    </xf>
    <xf numFmtId="4" fontId="2" fillId="32" borderId="16" xfId="186" applyNumberFormat="1" applyFont="1" applyFill="1" applyBorder="1" applyProtection="1"/>
    <xf numFmtId="4" fontId="2" fillId="32" borderId="0" xfId="186" applyNumberFormat="1" applyFont="1" applyFill="1" applyBorder="1" applyProtection="1"/>
    <xf numFmtId="0" fontId="2" fillId="32" borderId="17" xfId="186" applyNumberFormat="1" applyFont="1" applyFill="1" applyBorder="1" applyAlignment="1" applyProtection="1">
      <alignment horizontal="center"/>
    </xf>
    <xf numFmtId="4" fontId="2" fillId="32" borderId="17" xfId="186" applyNumberFormat="1" applyFont="1" applyFill="1" applyBorder="1" applyProtection="1"/>
    <xf numFmtId="4" fontId="4" fillId="32" borderId="16" xfId="186" applyNumberFormat="1" applyFont="1" applyFill="1" applyBorder="1" applyAlignment="1" applyProtection="1">
      <alignment horizontal="left" vertical="center"/>
    </xf>
    <xf numFmtId="4" fontId="4" fillId="32" borderId="0" xfId="186" applyNumberFormat="1" applyFont="1" applyFill="1" applyBorder="1" applyAlignment="1" applyProtection="1">
      <alignment vertical="center"/>
    </xf>
    <xf numFmtId="0" fontId="4" fillId="32" borderId="17" xfId="186" applyNumberFormat="1" applyFont="1" applyFill="1" applyBorder="1" applyAlignment="1" applyProtection="1">
      <alignment horizontal="center" vertical="center"/>
    </xf>
    <xf numFmtId="4" fontId="35" fillId="32" borderId="0" xfId="186" applyNumberFormat="1" applyFont="1" applyFill="1" applyBorder="1" applyAlignment="1" applyProtection="1">
      <alignment vertical="center"/>
    </xf>
    <xf numFmtId="4" fontId="2" fillId="32" borderId="16" xfId="186" applyNumberFormat="1" applyFont="1" applyFill="1" applyBorder="1" applyAlignment="1" applyProtection="1">
      <alignment horizontal="left" vertical="center"/>
    </xf>
    <xf numFmtId="4" fontId="2" fillId="32" borderId="0" xfId="186" applyNumberFormat="1" applyFont="1" applyFill="1" applyBorder="1" applyAlignment="1" applyProtection="1">
      <alignment vertical="center"/>
    </xf>
    <xf numFmtId="0" fontId="2" fillId="32" borderId="17" xfId="186" applyNumberFormat="1" applyFont="1" applyFill="1" applyBorder="1" applyAlignment="1" applyProtection="1">
      <alignment horizontal="center" vertical="center"/>
    </xf>
    <xf numFmtId="4" fontId="2" fillId="32" borderId="16" xfId="186" applyNumberFormat="1" applyFont="1" applyFill="1" applyBorder="1" applyAlignment="1" applyProtection="1">
      <alignment vertical="center"/>
    </xf>
    <xf numFmtId="4" fontId="2" fillId="32" borderId="0" xfId="186" applyNumberFormat="1" applyFont="1" applyFill="1" applyBorder="1" applyAlignment="1" applyProtection="1">
      <alignment horizontal="left" vertical="center"/>
    </xf>
    <xf numFmtId="4" fontId="4" fillId="32" borderId="16" xfId="186" applyNumberFormat="1" applyFont="1" applyFill="1" applyBorder="1" applyAlignment="1" applyProtection="1">
      <alignment vertical="center"/>
    </xf>
    <xf numFmtId="4" fontId="4" fillId="32" borderId="0" xfId="186" applyNumberFormat="1" applyFont="1" applyFill="1" applyBorder="1" applyAlignment="1" applyProtection="1">
      <alignment horizontal="left" vertical="center"/>
    </xf>
    <xf numFmtId="4" fontId="5" fillId="32" borderId="16" xfId="186" applyNumberFormat="1" applyFont="1" applyFill="1" applyBorder="1" applyAlignment="1" applyProtection="1">
      <alignment vertical="center"/>
    </xf>
    <xf numFmtId="4" fontId="5" fillId="32" borderId="0" xfId="186" applyNumberFormat="1" applyFont="1" applyFill="1" applyBorder="1" applyAlignment="1" applyProtection="1">
      <alignment horizontal="left" vertical="center"/>
    </xf>
    <xf numFmtId="4" fontId="5" fillId="32" borderId="0" xfId="186" applyNumberFormat="1" applyFont="1" applyFill="1" applyBorder="1" applyAlignment="1" applyProtection="1">
      <alignment vertical="center"/>
    </xf>
    <xf numFmtId="0" fontId="5" fillId="32" borderId="17" xfId="186" applyNumberFormat="1" applyFont="1" applyFill="1" applyBorder="1" applyAlignment="1" applyProtection="1">
      <alignment horizontal="center" vertical="center"/>
    </xf>
    <xf numFmtId="4" fontId="6" fillId="32" borderId="0" xfId="0" applyNumberFormat="1" applyFont="1" applyFill="1" applyBorder="1" applyAlignment="1" applyProtection="1">
      <alignment horizontal="right"/>
    </xf>
    <xf numFmtId="4" fontId="3" fillId="32" borderId="16" xfId="186" applyNumberFormat="1" applyFont="1" applyFill="1" applyBorder="1" applyAlignment="1" applyProtection="1">
      <alignment horizontal="right" vertical="center"/>
    </xf>
    <xf numFmtId="4" fontId="3" fillId="32" borderId="0" xfId="0" applyNumberFormat="1" applyFont="1" applyFill="1" applyBorder="1" applyAlignment="1" applyProtection="1">
      <alignment horizontal="right" vertical="center"/>
    </xf>
    <xf numFmtId="4" fontId="3" fillId="32" borderId="19" xfId="0" applyNumberFormat="1" applyFont="1" applyFill="1" applyBorder="1" applyAlignment="1" applyProtection="1">
      <alignment horizontal="right" vertical="center"/>
    </xf>
    <xf numFmtId="0" fontId="3" fillId="32" borderId="20" xfId="186" applyNumberFormat="1" applyFont="1" applyFill="1" applyBorder="1" applyAlignment="1" applyProtection="1">
      <alignment horizontal="center" vertical="center"/>
    </xf>
    <xf numFmtId="4" fontId="17" fillId="32" borderId="16" xfId="0" applyNumberFormat="1" applyFont="1" applyFill="1" applyBorder="1" applyAlignment="1" applyProtection="1">
      <alignment horizontal="right" vertical="center"/>
    </xf>
    <xf numFmtId="4" fontId="17" fillId="32" borderId="0" xfId="0" applyNumberFormat="1" applyFont="1" applyFill="1" applyBorder="1" applyAlignment="1" applyProtection="1">
      <alignment horizontal="right" vertical="center"/>
    </xf>
    <xf numFmtId="4" fontId="17" fillId="32" borderId="19" xfId="0" applyNumberFormat="1" applyFont="1" applyFill="1" applyBorder="1" applyAlignment="1" applyProtection="1">
      <alignment horizontal="right" vertical="center"/>
    </xf>
    <xf numFmtId="0" fontId="17" fillId="32" borderId="17" xfId="0" applyNumberFormat="1" applyFont="1" applyFill="1" applyBorder="1" applyAlignment="1" applyProtection="1">
      <alignment horizontal="center" vertical="center"/>
    </xf>
    <xf numFmtId="4" fontId="3" fillId="32" borderId="21" xfId="0" applyNumberFormat="1" applyFont="1" applyFill="1" applyBorder="1" applyAlignment="1" applyProtection="1">
      <alignment horizontal="right" vertical="center"/>
    </xf>
    <xf numFmtId="4" fontId="3" fillId="32" borderId="22" xfId="0" applyNumberFormat="1" applyFont="1" applyFill="1" applyBorder="1" applyAlignment="1" applyProtection="1">
      <alignment horizontal="right" vertical="center"/>
    </xf>
    <xf numFmtId="4" fontId="3" fillId="32" borderId="23" xfId="0" applyNumberFormat="1" applyFont="1" applyFill="1" applyBorder="1" applyAlignment="1" applyProtection="1">
      <alignment horizontal="right" vertical="center"/>
    </xf>
    <xf numFmtId="0" fontId="3" fillId="32" borderId="24" xfId="0" applyNumberFormat="1" applyFont="1" applyFill="1" applyBorder="1" applyAlignment="1" applyProtection="1">
      <alignment horizontal="center" vertical="center"/>
    </xf>
    <xf numFmtId="164" fontId="3" fillId="32" borderId="24" xfId="0" applyNumberFormat="1" applyFont="1" applyFill="1" applyBorder="1" applyAlignment="1" applyProtection="1">
      <alignment vertical="center"/>
    </xf>
    <xf numFmtId="4" fontId="6" fillId="32" borderId="0" xfId="186" applyNumberFormat="1" applyFont="1" applyFill="1" applyBorder="1" applyAlignment="1" applyProtection="1"/>
    <xf numFmtId="4" fontId="2" fillId="32" borderId="0" xfId="186" applyNumberFormat="1" applyFont="1" applyFill="1" applyProtection="1"/>
    <xf numFmtId="0" fontId="2" fillId="32" borderId="0" xfId="186" applyNumberFormat="1" applyFont="1" applyFill="1" applyAlignment="1" applyProtection="1">
      <alignment horizontal="center"/>
    </xf>
    <xf numFmtId="4" fontId="6" fillId="32" borderId="0" xfId="186" applyNumberFormat="1" applyFont="1" applyFill="1" applyProtection="1"/>
    <xf numFmtId="4" fontId="2" fillId="32" borderId="0" xfId="186" applyNumberFormat="1" applyFont="1" applyFill="1" applyAlignment="1" applyProtection="1">
      <alignment vertical="center"/>
    </xf>
    <xf numFmtId="4" fontId="2" fillId="32" borderId="0" xfId="186" applyNumberFormat="1" applyFont="1" applyFill="1" applyAlignment="1" applyProtection="1">
      <alignment horizontal="center" vertical="center"/>
    </xf>
    <xf numFmtId="164" fontId="2" fillId="32" borderId="0" xfId="186" applyNumberFormat="1" applyFont="1" applyFill="1" applyAlignment="1" applyProtection="1">
      <alignment vertical="center"/>
    </xf>
    <xf numFmtId="4" fontId="20" fillId="32" borderId="0" xfId="186" quotePrefix="1" applyNumberFormat="1" applyFont="1" applyFill="1" applyAlignment="1" applyProtection="1">
      <alignment vertical="center"/>
    </xf>
    <xf numFmtId="4" fontId="2" fillId="32" borderId="0" xfId="186" applyNumberFormat="1" applyFont="1" applyFill="1" applyAlignment="1" applyProtection="1">
      <alignment horizontal="center"/>
    </xf>
    <xf numFmtId="0" fontId="3" fillId="32" borderId="0" xfId="0" applyFont="1" applyFill="1" applyBorder="1" applyAlignment="1" applyProtection="1"/>
    <xf numFmtId="0" fontId="2" fillId="32" borderId="0" xfId="0" applyFont="1" applyFill="1" applyProtection="1"/>
    <xf numFmtId="0" fontId="0" fillId="32" borderId="25" xfId="0" applyFill="1" applyBorder="1" applyProtection="1"/>
    <xf numFmtId="0" fontId="0" fillId="0" borderId="0" xfId="0" applyProtection="1"/>
    <xf numFmtId="0" fontId="4" fillId="32" borderId="0" xfId="0" applyFont="1" applyFill="1" applyProtection="1"/>
    <xf numFmtId="44" fontId="6" fillId="32" borderId="11" xfId="192" applyFont="1" applyFill="1" applyBorder="1" applyAlignment="1" applyProtection="1">
      <alignment horizontal="center" vertical="top"/>
    </xf>
    <xf numFmtId="0" fontId="6" fillId="32" borderId="11" xfId="0" applyFont="1" applyFill="1" applyBorder="1" applyAlignment="1" applyProtection="1">
      <alignment horizontal="right" vertical="center"/>
    </xf>
    <xf numFmtId="0" fontId="6" fillId="32" borderId="26" xfId="0" applyFont="1" applyFill="1" applyBorder="1" applyAlignment="1" applyProtection="1">
      <alignment horizontal="center" vertical="top"/>
    </xf>
    <xf numFmtId="0" fontId="6" fillId="32" borderId="11" xfId="0" applyFont="1" applyFill="1" applyBorder="1" applyAlignment="1" applyProtection="1">
      <alignment horizontal="center" vertical="top"/>
    </xf>
    <xf numFmtId="0" fontId="20" fillId="32" borderId="11" xfId="0" applyFont="1" applyFill="1" applyBorder="1" applyAlignment="1" applyProtection="1">
      <alignment vertical="top" wrapText="1"/>
    </xf>
    <xf numFmtId="164" fontId="0" fillId="32" borderId="11" xfId="0" applyNumberFormat="1" applyFont="1" applyFill="1" applyBorder="1" applyAlignment="1" applyProtection="1">
      <alignment vertical="top"/>
    </xf>
    <xf numFmtId="4" fontId="20" fillId="0" borderId="11" xfId="186" applyNumberFormat="1" applyFont="1" applyBorder="1" applyAlignment="1" applyProtection="1">
      <alignment horizontal="left" vertical="top" wrapText="1"/>
    </xf>
    <xf numFmtId="4" fontId="2" fillId="0" borderId="11" xfId="186" applyNumberFormat="1" applyFont="1" applyBorder="1" applyAlignment="1" applyProtection="1">
      <alignment horizontal="left" vertical="top" wrapText="1"/>
    </xf>
    <xf numFmtId="4" fontId="6" fillId="0" borderId="11" xfId="186" applyNumberFormat="1" applyFont="1" applyBorder="1" applyAlignment="1" applyProtection="1">
      <alignment horizontal="left" vertical="top" wrapText="1"/>
    </xf>
    <xf numFmtId="0" fontId="5" fillId="32" borderId="0" xfId="0" applyFont="1" applyFill="1" applyAlignment="1" applyProtection="1">
      <alignment vertical="top" wrapText="1"/>
    </xf>
    <xf numFmtId="0" fontId="4" fillId="32" borderId="0" xfId="0" applyFont="1" applyFill="1" applyAlignment="1" applyProtection="1">
      <alignment vertical="top"/>
    </xf>
    <xf numFmtId="0" fontId="0" fillId="32" borderId="0" xfId="0" applyFill="1" applyAlignment="1" applyProtection="1">
      <alignment vertical="top" wrapText="1"/>
    </xf>
    <xf numFmtId="0" fontId="6" fillId="32" borderId="11" xfId="0" applyFont="1" applyFill="1" applyBorder="1" applyAlignment="1" applyProtection="1">
      <alignment horizontal="center" vertical="top" wrapText="1"/>
    </xf>
    <xf numFmtId="0" fontId="2" fillId="32" borderId="27" xfId="0" applyFont="1" applyFill="1" applyBorder="1" applyAlignment="1" applyProtection="1">
      <alignment horizontal="center" vertical="top"/>
    </xf>
    <xf numFmtId="0" fontId="0" fillId="32" borderId="27" xfId="0" applyFill="1" applyBorder="1" applyAlignment="1" applyProtection="1">
      <alignment horizontal="center" vertical="top"/>
    </xf>
    <xf numFmtId="0" fontId="0" fillId="32" borderId="28" xfId="0" applyFill="1" applyBorder="1" applyAlignment="1" applyProtection="1">
      <alignment vertical="top"/>
    </xf>
    <xf numFmtId="0" fontId="0" fillId="32" borderId="11" xfId="0" applyFont="1" applyFill="1" applyBorder="1" applyAlignment="1" applyProtection="1">
      <alignment vertical="top" wrapText="1"/>
    </xf>
    <xf numFmtId="0" fontId="5" fillId="32" borderId="11" xfId="192" applyNumberFormat="1" applyFont="1" applyFill="1" applyBorder="1" applyAlignment="1" applyProtection="1">
      <alignment horizontal="center" vertical="top"/>
    </xf>
    <xf numFmtId="0" fontId="5" fillId="32" borderId="0" xfId="192" applyNumberFormat="1" applyFont="1" applyFill="1" applyBorder="1" applyAlignment="1" applyProtection="1">
      <alignment horizontal="center" vertical="top"/>
    </xf>
    <xf numFmtId="0" fontId="0" fillId="32" borderId="0" xfId="0" applyFill="1" applyBorder="1" applyAlignment="1" applyProtection="1">
      <alignment vertical="top"/>
    </xf>
    <xf numFmtId="44" fontId="2" fillId="32" borderId="29" xfId="192" applyFont="1" applyFill="1" applyBorder="1" applyAlignment="1" applyProtection="1">
      <alignment vertical="top"/>
    </xf>
    <xf numFmtId="0" fontId="5" fillId="32" borderId="29" xfId="192" applyNumberFormat="1" applyFont="1" applyFill="1" applyBorder="1" applyAlignment="1" applyProtection="1">
      <alignment horizontal="center" vertical="top"/>
    </xf>
    <xf numFmtId="0" fontId="0" fillId="0" borderId="11" xfId="0" applyFont="1" applyBorder="1" applyAlignment="1" applyProtection="1">
      <alignment vertical="top" wrapText="1"/>
    </xf>
    <xf numFmtId="164" fontId="2" fillId="32" borderId="11" xfId="192" applyNumberFormat="1" applyFont="1" applyFill="1" applyBorder="1" applyAlignment="1" applyProtection="1">
      <alignment vertical="top"/>
    </xf>
    <xf numFmtId="0" fontId="19" fillId="0" borderId="11" xfId="13" applyNumberFormat="1" applyBorder="1" applyAlignment="1" applyProtection="1">
      <alignment horizontal="center" vertical="top"/>
    </xf>
    <xf numFmtId="0" fontId="0" fillId="32" borderId="0" xfId="0" applyFont="1" applyFill="1" applyBorder="1" applyAlignment="1" applyProtection="1">
      <alignment vertical="top" wrapText="1"/>
    </xf>
    <xf numFmtId="0" fontId="2" fillId="32" borderId="0" xfId="192" applyNumberFormat="1" applyFont="1" applyFill="1" applyBorder="1" applyAlignment="1" applyProtection="1">
      <alignment horizontal="center" vertical="top" wrapText="1"/>
    </xf>
    <xf numFmtId="164" fontId="2" fillId="32" borderId="0" xfId="192" applyNumberFormat="1" applyFont="1" applyFill="1" applyBorder="1" applyAlignment="1" applyProtection="1">
      <alignment vertical="top"/>
    </xf>
    <xf numFmtId="0" fontId="2" fillId="0" borderId="11" xfId="186" applyNumberFormat="1" applyFont="1" applyBorder="1" applyAlignment="1" applyProtection="1">
      <alignment horizontal="center" vertical="top"/>
    </xf>
    <xf numFmtId="0" fontId="2" fillId="32" borderId="30" xfId="0" applyFont="1" applyFill="1" applyBorder="1" applyAlignment="1" applyProtection="1">
      <alignment vertical="top" wrapText="1"/>
    </xf>
    <xf numFmtId="0" fontId="2" fillId="32" borderId="30" xfId="186" applyNumberFormat="1" applyFont="1" applyFill="1" applyBorder="1" applyAlignment="1" applyProtection="1">
      <alignment horizontal="center" vertical="top"/>
    </xf>
    <xf numFmtId="164" fontId="2" fillId="32" borderId="30" xfId="192" applyNumberFormat="1" applyFont="1" applyFill="1" applyBorder="1" applyAlignment="1" applyProtection="1">
      <alignment vertical="top"/>
    </xf>
    <xf numFmtId="164" fontId="2" fillId="0" borderId="11" xfId="192" applyNumberFormat="1" applyFont="1" applyFill="1" applyBorder="1" applyAlignment="1" applyProtection="1">
      <alignment vertical="top"/>
    </xf>
    <xf numFmtId="0" fontId="5" fillId="32" borderId="31" xfId="192" applyNumberFormat="1" applyFont="1" applyFill="1" applyBorder="1" applyAlignment="1" applyProtection="1">
      <alignment horizontal="center" vertical="top"/>
    </xf>
    <xf numFmtId="0" fontId="5" fillId="32" borderId="29" xfId="0" applyFont="1" applyFill="1" applyBorder="1" applyAlignment="1" applyProtection="1">
      <alignment horizontal="right" vertical="top" wrapText="1"/>
    </xf>
    <xf numFmtId="0" fontId="2" fillId="32" borderId="29" xfId="186" applyNumberFormat="1" applyFont="1" applyFill="1" applyBorder="1" applyAlignment="1" applyProtection="1">
      <alignment horizontal="center" vertical="top"/>
    </xf>
    <xf numFmtId="164" fontId="2" fillId="32" borderId="29" xfId="192" applyNumberFormat="1" applyFont="1" applyFill="1" applyBorder="1" applyAlignment="1" applyProtection="1">
      <alignment vertical="top"/>
    </xf>
    <xf numFmtId="0" fontId="5" fillId="32" borderId="32" xfId="192" applyNumberFormat="1" applyFont="1" applyFill="1" applyBorder="1" applyAlignment="1" applyProtection="1">
      <alignment horizontal="center" vertical="top"/>
    </xf>
    <xf numFmtId="0" fontId="2" fillId="0" borderId="11" xfId="0" applyFont="1" applyBorder="1" applyAlignment="1" applyProtection="1">
      <alignment vertical="top" wrapText="1"/>
    </xf>
    <xf numFmtId="0" fontId="2" fillId="32" borderId="29" xfId="0" applyFont="1" applyFill="1" applyBorder="1" applyAlignment="1" applyProtection="1">
      <alignment vertical="top" wrapText="1"/>
    </xf>
    <xf numFmtId="0" fontId="2" fillId="32" borderId="29" xfId="192" applyNumberFormat="1" applyFont="1" applyFill="1" applyBorder="1" applyAlignment="1" applyProtection="1">
      <alignment horizontal="center" vertical="top"/>
    </xf>
    <xf numFmtId="0" fontId="2" fillId="32" borderId="0" xfId="0" applyFont="1" applyFill="1" applyBorder="1" applyAlignment="1" applyProtection="1">
      <alignment vertical="top" wrapText="1"/>
    </xf>
    <xf numFmtId="0" fontId="5" fillId="32" borderId="0" xfId="192" applyNumberFormat="1" applyFont="1" applyFill="1" applyBorder="1" applyAlignment="1" applyProtection="1">
      <alignment vertical="top"/>
    </xf>
    <xf numFmtId="0" fontId="2" fillId="32" borderId="0" xfId="186" applyNumberFormat="1" applyFont="1" applyFill="1" applyBorder="1" applyAlignment="1" applyProtection="1">
      <alignment horizontal="center" vertical="top"/>
    </xf>
    <xf numFmtId="0" fontId="0" fillId="0" borderId="11" xfId="0" applyFont="1" applyFill="1" applyBorder="1" applyAlignment="1" applyProtection="1">
      <alignment vertical="top" wrapText="1"/>
    </xf>
    <xf numFmtId="3" fontId="5" fillId="32" borderId="0" xfId="192" applyNumberFormat="1" applyFont="1" applyFill="1" applyBorder="1" applyAlignment="1" applyProtection="1">
      <alignment vertical="top"/>
    </xf>
    <xf numFmtId="3" fontId="2" fillId="32" borderId="11" xfId="192" applyNumberFormat="1" applyFont="1" applyFill="1" applyBorder="1" applyAlignment="1" applyProtection="1">
      <alignment horizontal="center" vertical="top"/>
    </xf>
    <xf numFmtId="3" fontId="5" fillId="32" borderId="11" xfId="192" applyNumberFormat="1" applyFont="1" applyFill="1" applyBorder="1" applyAlignment="1" applyProtection="1">
      <alignment vertical="top"/>
    </xf>
    <xf numFmtId="0" fontId="0" fillId="32" borderId="33" xfId="0" applyFill="1" applyBorder="1" applyAlignment="1" applyProtection="1">
      <alignment vertical="top"/>
    </xf>
    <xf numFmtId="164" fontId="5" fillId="32" borderId="11" xfId="192" applyNumberFormat="1" applyFont="1" applyFill="1" applyBorder="1" applyAlignment="1" applyProtection="1">
      <alignment horizontal="right" vertical="top"/>
    </xf>
    <xf numFmtId="0" fontId="5" fillId="32" borderId="11" xfId="0" applyFont="1" applyFill="1" applyBorder="1" applyAlignment="1" applyProtection="1">
      <alignment horizontal="center" vertical="top"/>
    </xf>
    <xf numFmtId="0" fontId="0" fillId="32" borderId="11" xfId="0" applyFill="1" applyBorder="1" applyAlignment="1" applyProtection="1">
      <alignment vertical="top"/>
    </xf>
    <xf numFmtId="0" fontId="0" fillId="32" borderId="0" xfId="0" applyFill="1" applyBorder="1" applyAlignment="1" applyProtection="1">
      <alignment horizontal="center" vertical="top"/>
    </xf>
    <xf numFmtId="44" fontId="2" fillId="32" borderId="0" xfId="192" applyFont="1" applyFill="1" applyBorder="1" applyAlignment="1" applyProtection="1">
      <alignment vertical="top"/>
    </xf>
    <xf numFmtId="0" fontId="0" fillId="32" borderId="11" xfId="0" applyFill="1" applyBorder="1" applyAlignment="1" applyProtection="1">
      <alignment vertical="top" wrapText="1"/>
    </xf>
    <xf numFmtId="0" fontId="0" fillId="32" borderId="11" xfId="0" applyFill="1" applyBorder="1" applyAlignment="1" applyProtection="1">
      <alignment horizontal="center" vertical="top"/>
    </xf>
    <xf numFmtId="0" fontId="0" fillId="32" borderId="11" xfId="0" applyFont="1" applyFill="1" applyBorder="1" applyAlignment="1" applyProtection="1">
      <alignment horizontal="center" vertical="top"/>
    </xf>
    <xf numFmtId="0" fontId="0" fillId="32" borderId="33" xfId="0" applyFill="1" applyBorder="1" applyAlignment="1" applyProtection="1">
      <alignment vertical="top" wrapText="1"/>
    </xf>
    <xf numFmtId="0" fontId="0" fillId="32" borderId="33" xfId="0" applyFill="1" applyBorder="1" applyAlignment="1" applyProtection="1">
      <alignment horizontal="center" vertical="top"/>
    </xf>
    <xf numFmtId="0" fontId="0" fillId="32" borderId="33" xfId="0" applyFont="1" applyFill="1" applyBorder="1" applyAlignment="1" applyProtection="1">
      <alignment horizontal="center" vertical="top"/>
    </xf>
    <xf numFmtId="0" fontId="0" fillId="32" borderId="27" xfId="0" applyFill="1" applyBorder="1" applyAlignment="1" applyProtection="1">
      <alignment vertical="top" wrapText="1"/>
    </xf>
    <xf numFmtId="0" fontId="0" fillId="32" borderId="28" xfId="0" applyFont="1" applyFill="1" applyBorder="1" applyAlignment="1" applyProtection="1">
      <alignment horizontal="center" vertical="top"/>
    </xf>
    <xf numFmtId="164" fontId="20" fillId="0" borderId="11" xfId="192" applyNumberFormat="1" applyFont="1" applyFill="1" applyBorder="1" applyAlignment="1" applyProtection="1">
      <alignment vertical="top"/>
    </xf>
    <xf numFmtId="164" fontId="6" fillId="0" borderId="11" xfId="192" applyNumberFormat="1" applyFont="1" applyFill="1" applyBorder="1" applyAlignment="1" applyProtection="1">
      <alignment vertical="top"/>
    </xf>
    <xf numFmtId="44" fontId="0" fillId="32" borderId="0" xfId="0" applyNumberFormat="1" applyFill="1" applyBorder="1" applyAlignment="1" applyProtection="1">
      <alignment vertical="top"/>
    </xf>
    <xf numFmtId="0" fontId="0" fillId="32" borderId="0" xfId="0" applyFont="1" applyFill="1" applyAlignment="1" applyProtection="1">
      <alignment vertical="top"/>
    </xf>
    <xf numFmtId="0" fontId="5" fillId="32" borderId="0" xfId="0" quotePrefix="1" applyFont="1" applyFill="1" applyAlignment="1" applyProtection="1">
      <alignment horizontal="right" vertical="top"/>
    </xf>
    <xf numFmtId="0" fontId="5" fillId="32" borderId="0" xfId="0" applyFont="1" applyFill="1" applyAlignment="1" applyProtection="1">
      <alignment horizontal="center" vertical="top"/>
    </xf>
    <xf numFmtId="0" fontId="0" fillId="32" borderId="0" xfId="0" quotePrefix="1" applyFill="1" applyAlignment="1" applyProtection="1">
      <alignment horizontal="right" vertical="top"/>
    </xf>
    <xf numFmtId="44" fontId="2" fillId="32" borderId="32" xfId="192" applyFont="1" applyFill="1" applyBorder="1" applyAlignment="1" applyProtection="1">
      <alignment vertical="top"/>
    </xf>
    <xf numFmtId="164" fontId="5" fillId="32" borderId="11" xfId="192" applyNumberFormat="1" applyFont="1" applyFill="1" applyBorder="1" applyAlignment="1" applyProtection="1">
      <alignment vertical="top"/>
    </xf>
    <xf numFmtId="0" fontId="0" fillId="0" borderId="0" xfId="192" applyNumberFormat="1" applyFont="1" applyFill="1" applyBorder="1" applyAlignment="1" applyProtection="1">
      <alignment horizontal="center" vertical="top" wrapText="1"/>
    </xf>
    <xf numFmtId="164" fontId="6" fillId="32" borderId="11" xfId="192" applyNumberFormat="1" applyFont="1" applyFill="1" applyBorder="1" applyAlignment="1" applyProtection="1">
      <alignment vertical="top"/>
    </xf>
    <xf numFmtId="0" fontId="5" fillId="32" borderId="0" xfId="30" quotePrefix="1" applyFont="1" applyFill="1" applyAlignment="1" applyProtection="1"/>
    <xf numFmtId="0" fontId="5" fillId="32" borderId="0" xfId="30" applyFont="1" applyFill="1" applyAlignment="1" applyProtection="1"/>
    <xf numFmtId="0" fontId="5" fillId="32" borderId="0" xfId="30" applyFont="1" applyFill="1" applyAlignment="1" applyProtection="1">
      <alignment wrapText="1"/>
    </xf>
    <xf numFmtId="0" fontId="2" fillId="32" borderId="0" xfId="30" applyFill="1" applyProtection="1"/>
    <xf numFmtId="0" fontId="62" fillId="32" borderId="0" xfId="186" applyFont="1" applyFill="1" applyProtection="1"/>
    <xf numFmtId="0" fontId="23" fillId="32" borderId="0" xfId="30" applyFont="1" applyFill="1" applyAlignment="1" applyProtection="1">
      <alignment horizontal="center"/>
    </xf>
    <xf numFmtId="0" fontId="2" fillId="0" borderId="0" xfId="30" applyProtection="1"/>
    <xf numFmtId="0" fontId="6" fillId="32" borderId="34" xfId="30" applyFont="1" applyFill="1" applyBorder="1" applyAlignment="1" applyProtection="1">
      <alignment horizontal="center"/>
    </xf>
    <xf numFmtId="0" fontId="6" fillId="32" borderId="25" xfId="30" applyFont="1" applyFill="1" applyBorder="1" applyAlignment="1" applyProtection="1">
      <alignment horizontal="center"/>
    </xf>
    <xf numFmtId="0" fontId="2" fillId="32" borderId="0" xfId="30" applyFont="1" applyFill="1" applyProtection="1"/>
    <xf numFmtId="0" fontId="5" fillId="32" borderId="0" xfId="30" quotePrefix="1" applyFont="1" applyFill="1" applyProtection="1"/>
    <xf numFmtId="4" fontId="25" fillId="32" borderId="0" xfId="30" applyNumberFormat="1" applyFont="1" applyFill="1" applyBorder="1" applyProtection="1"/>
    <xf numFmtId="0" fontId="5" fillId="32" borderId="0" xfId="30" applyFont="1" applyFill="1" applyProtection="1"/>
    <xf numFmtId="0" fontId="26" fillId="32" borderId="0" xfId="30" applyFont="1" applyFill="1" applyProtection="1"/>
    <xf numFmtId="0" fontId="29" fillId="32" borderId="0" xfId="30" applyFont="1" applyFill="1" applyProtection="1"/>
    <xf numFmtId="0" fontId="29" fillId="0" borderId="0" xfId="30" applyFont="1" applyProtection="1"/>
    <xf numFmtId="0" fontId="2" fillId="32" borderId="33" xfId="30" applyFont="1" applyFill="1" applyBorder="1" applyAlignment="1" applyProtection="1">
      <alignment horizontal="center"/>
    </xf>
    <xf numFmtId="0" fontId="2" fillId="32" borderId="33" xfId="30" applyFill="1" applyBorder="1" applyAlignment="1" applyProtection="1">
      <alignment horizontal="center"/>
    </xf>
    <xf numFmtId="0" fontId="2" fillId="32" borderId="11" xfId="30" applyFill="1" applyBorder="1" applyAlignment="1" applyProtection="1">
      <alignment horizontal="center"/>
    </xf>
    <xf numFmtId="0" fontId="2" fillId="32" borderId="28" xfId="30" quotePrefix="1" applyFill="1" applyBorder="1" applyAlignment="1" applyProtection="1">
      <alignment horizontal="center"/>
    </xf>
    <xf numFmtId="1" fontId="2" fillId="0" borderId="29" xfId="30" applyNumberFormat="1" applyBorder="1" applyAlignment="1" applyProtection="1">
      <alignment horizontal="center"/>
    </xf>
    <xf numFmtId="4" fontId="2" fillId="32" borderId="32" xfId="30" applyNumberFormat="1" applyFont="1" applyFill="1" applyBorder="1" applyProtection="1"/>
    <xf numFmtId="4" fontId="2" fillId="32" borderId="35" xfId="30" applyNumberFormat="1" applyFont="1" applyFill="1" applyBorder="1" applyProtection="1"/>
    <xf numFmtId="4" fontId="2" fillId="32" borderId="0" xfId="30" applyNumberFormat="1" applyFill="1" applyProtection="1"/>
    <xf numFmtId="4" fontId="63" fillId="32" borderId="11" xfId="30" applyNumberFormat="1" applyFont="1" applyFill="1" applyBorder="1" applyProtection="1"/>
    <xf numFmtId="1" fontId="2" fillId="0" borderId="11" xfId="30" applyNumberFormat="1" applyBorder="1" applyAlignment="1" applyProtection="1">
      <alignment horizontal="center"/>
    </xf>
    <xf numFmtId="4" fontId="2" fillId="32" borderId="0" xfId="30" applyNumberFormat="1" applyFont="1" applyFill="1" applyBorder="1" applyProtection="1"/>
    <xf numFmtId="4" fontId="2" fillId="32" borderId="36" xfId="30" applyNumberFormat="1" applyFont="1" applyFill="1" applyBorder="1" applyProtection="1"/>
    <xf numFmtId="0" fontId="28" fillId="0" borderId="26" xfId="30" applyFont="1" applyBorder="1" applyAlignment="1" applyProtection="1">
      <alignment horizontal="center"/>
    </xf>
    <xf numFmtId="4" fontId="64" fillId="32" borderId="37" xfId="30" applyNumberFormat="1" applyFont="1" applyFill="1" applyBorder="1" applyProtection="1"/>
    <xf numFmtId="4" fontId="64" fillId="32" borderId="28" xfId="30" applyNumberFormat="1" applyFont="1" applyFill="1" applyBorder="1" applyProtection="1"/>
    <xf numFmtId="4" fontId="29" fillId="32" borderId="0" xfId="30" applyNumberFormat="1" applyFont="1" applyFill="1" applyProtection="1"/>
    <xf numFmtId="4" fontId="65" fillId="32" borderId="11" xfId="30" applyNumberFormat="1" applyFont="1" applyFill="1" applyBorder="1" applyProtection="1"/>
    <xf numFmtId="4" fontId="66" fillId="32" borderId="0" xfId="30" applyNumberFormat="1" applyFont="1" applyFill="1" applyAlignment="1" applyProtection="1">
      <alignment horizontal="left"/>
    </xf>
    <xf numFmtId="4" fontId="66" fillId="32" borderId="0" xfId="30" applyNumberFormat="1" applyFont="1" applyFill="1" applyAlignment="1" applyProtection="1">
      <alignment horizontal="right"/>
    </xf>
    <xf numFmtId="0" fontId="5" fillId="0" borderId="0" xfId="30" applyFont="1" applyProtection="1"/>
    <xf numFmtId="0" fontId="2" fillId="0" borderId="26" xfId="30" applyBorder="1" applyAlignment="1" applyProtection="1">
      <alignment horizontal="center"/>
    </xf>
    <xf numFmtId="4" fontId="2" fillId="32" borderId="0" xfId="30" applyNumberFormat="1" applyFill="1" applyBorder="1" applyProtection="1"/>
    <xf numFmtId="4" fontId="2" fillId="32" borderId="35" xfId="30" applyNumberFormat="1" applyFill="1" applyBorder="1" applyProtection="1"/>
    <xf numFmtId="4" fontId="67" fillId="32" borderId="11" xfId="30" applyNumberFormat="1" applyFont="1" applyFill="1" applyBorder="1" applyProtection="1"/>
    <xf numFmtId="4" fontId="2" fillId="32" borderId="36" xfId="30" applyNumberFormat="1" applyFill="1" applyBorder="1" applyProtection="1"/>
    <xf numFmtId="4" fontId="65" fillId="0" borderId="11" xfId="30" applyNumberFormat="1" applyFont="1" applyBorder="1" applyProtection="1"/>
    <xf numFmtId="0" fontId="2" fillId="32" borderId="11" xfId="30" applyFont="1" applyFill="1" applyBorder="1" applyAlignment="1" applyProtection="1">
      <alignment horizontal="center"/>
    </xf>
    <xf numFmtId="4" fontId="2" fillId="32" borderId="32" xfId="30" applyNumberFormat="1" applyFill="1" applyBorder="1" applyProtection="1"/>
    <xf numFmtId="4" fontId="2" fillId="32" borderId="11" xfId="30" applyNumberFormat="1" applyFill="1" applyBorder="1" applyProtection="1"/>
    <xf numFmtId="4" fontId="63" fillId="32" borderId="0" xfId="30" applyNumberFormat="1" applyFont="1" applyFill="1" applyBorder="1" applyProtection="1"/>
    <xf numFmtId="4" fontId="63" fillId="32" borderId="36" xfId="30" applyNumberFormat="1" applyFont="1" applyFill="1" applyBorder="1" applyProtection="1"/>
    <xf numFmtId="0" fontId="61" fillId="32" borderId="0" xfId="46" applyFill="1" applyBorder="1" applyAlignment="1" applyProtection="1"/>
    <xf numFmtId="0" fontId="2" fillId="32" borderId="11" xfId="30" applyFont="1" applyFill="1" applyBorder="1" applyAlignment="1" applyProtection="1">
      <alignment horizontal="center" vertical="center"/>
    </xf>
    <xf numFmtId="0" fontId="22" fillId="32" borderId="0" xfId="186" applyFont="1" applyFill="1" applyProtection="1"/>
    <xf numFmtId="0" fontId="15" fillId="32" borderId="0" xfId="30" applyFont="1" applyFill="1" applyAlignment="1" applyProtection="1">
      <alignment horizontal="center"/>
    </xf>
    <xf numFmtId="0" fontId="30" fillId="32" borderId="0" xfId="174" applyFont="1" applyFill="1" applyProtection="1"/>
    <xf numFmtId="0" fontId="31" fillId="32" borderId="0" xfId="174" applyFont="1" applyFill="1" applyProtection="1"/>
    <xf numFmtId="0" fontId="2" fillId="0" borderId="0" xfId="174" applyFill="1" applyBorder="1" applyProtection="1"/>
    <xf numFmtId="0" fontId="2" fillId="0" borderId="0" xfId="174" applyFill="1" applyProtection="1"/>
    <xf numFmtId="0" fontId="2" fillId="0" borderId="0" xfId="174" applyFill="1" applyAlignment="1" applyProtection="1">
      <alignment horizontal="right"/>
    </xf>
    <xf numFmtId="0" fontId="6" fillId="0" borderId="0" xfId="174" applyFont="1" applyFill="1" applyAlignment="1" applyProtection="1">
      <alignment horizontal="right" vertical="center"/>
    </xf>
    <xf numFmtId="0" fontId="6" fillId="0" borderId="34" xfId="174" applyFont="1" applyFill="1" applyBorder="1" applyAlignment="1" applyProtection="1">
      <alignment horizontal="center" vertical="center" wrapText="1"/>
    </xf>
    <xf numFmtId="0" fontId="6" fillId="0" borderId="38" xfId="174" applyFont="1" applyFill="1" applyBorder="1" applyAlignment="1" applyProtection="1">
      <alignment horizontal="center" vertical="center" wrapText="1"/>
    </xf>
    <xf numFmtId="0" fontId="6" fillId="0" borderId="39" xfId="174" applyFont="1" applyFill="1" applyBorder="1" applyAlignment="1" applyProtection="1">
      <alignment horizontal="center" vertical="center" wrapText="1"/>
    </xf>
    <xf numFmtId="0" fontId="3" fillId="0" borderId="0" xfId="174" applyFont="1" applyFill="1" applyBorder="1" applyAlignment="1" applyProtection="1"/>
    <xf numFmtId="0" fontId="3" fillId="0" borderId="0" xfId="174" applyFont="1" applyFill="1" applyProtection="1"/>
    <xf numFmtId="0" fontId="54" fillId="0" borderId="14" xfId="174" applyFont="1" applyFill="1" applyBorder="1" applyProtection="1"/>
    <xf numFmtId="0" fontId="22" fillId="0" borderId="0" xfId="174" applyFont="1" applyFill="1" applyBorder="1" applyProtection="1"/>
    <xf numFmtId="0" fontId="22" fillId="0" borderId="40" xfId="174" applyFont="1" applyFill="1" applyBorder="1" applyAlignment="1" applyProtection="1">
      <alignment horizontal="right"/>
    </xf>
    <xf numFmtId="0" fontId="22" fillId="0" borderId="0" xfId="174" applyFont="1" applyFill="1" applyAlignment="1" applyProtection="1">
      <alignment horizontal="right" vertical="center"/>
    </xf>
    <xf numFmtId="164" fontId="38" fillId="32" borderId="34" xfId="192" applyNumberFormat="1" applyFont="1" applyFill="1" applyBorder="1" applyAlignment="1" applyProtection="1">
      <alignment horizontal="left"/>
    </xf>
    <xf numFmtId="164" fontId="38" fillId="32" borderId="38" xfId="192" applyNumberFormat="1" applyFont="1" applyFill="1" applyBorder="1" applyAlignment="1" applyProtection="1">
      <alignment horizontal="left"/>
    </xf>
    <xf numFmtId="164" fontId="38" fillId="32" borderId="39" xfId="192" applyNumberFormat="1" applyFont="1" applyFill="1" applyBorder="1" applyAlignment="1" applyProtection="1">
      <alignment horizontal="left"/>
    </xf>
    <xf numFmtId="0" fontId="22" fillId="0" borderId="0" xfId="174" applyFont="1" applyFill="1" applyProtection="1"/>
    <xf numFmtId="0" fontId="4" fillId="0" borderId="41" xfId="174" applyFont="1" applyFill="1" applyBorder="1" applyProtection="1"/>
    <xf numFmtId="0" fontId="4" fillId="0" borderId="42" xfId="174" applyFont="1" applyFill="1" applyBorder="1" applyProtection="1"/>
    <xf numFmtId="0" fontId="4" fillId="0" borderId="43" xfId="174" applyFont="1" applyFill="1" applyBorder="1" applyAlignment="1" applyProtection="1">
      <alignment horizontal="right"/>
    </xf>
    <xf numFmtId="0" fontId="2" fillId="0" borderId="0" xfId="174" applyFont="1" applyFill="1" applyAlignment="1" applyProtection="1"/>
    <xf numFmtId="0" fontId="2" fillId="0" borderId="0" xfId="174" applyFont="1" applyFill="1" applyProtection="1"/>
    <xf numFmtId="0" fontId="2" fillId="0" borderId="41" xfId="174" applyFont="1" applyFill="1" applyBorder="1" applyProtection="1"/>
    <xf numFmtId="0" fontId="2" fillId="0" borderId="42" xfId="174" applyFont="1" applyFill="1" applyBorder="1" applyProtection="1"/>
    <xf numFmtId="0" fontId="2" fillId="0" borderId="43" xfId="174" applyFont="1" applyFill="1" applyBorder="1" applyAlignment="1" applyProtection="1">
      <alignment horizontal="right"/>
    </xf>
    <xf numFmtId="3" fontId="5" fillId="32" borderId="43" xfId="192" applyNumberFormat="1" applyFont="1" applyFill="1" applyBorder="1" applyAlignment="1" applyProtection="1">
      <alignment horizontal="left" indent="2"/>
    </xf>
    <xf numFmtId="0" fontId="2" fillId="32" borderId="0" xfId="174" applyFont="1" applyFill="1" applyProtection="1"/>
    <xf numFmtId="167" fontId="2" fillId="0" borderId="42" xfId="174" applyNumberFormat="1" applyFont="1" applyFill="1" applyBorder="1" applyAlignment="1" applyProtection="1">
      <alignment horizontal="right"/>
    </xf>
    <xf numFmtId="0" fontId="2" fillId="32" borderId="43" xfId="174" applyFont="1" applyFill="1" applyBorder="1" applyAlignment="1" applyProtection="1">
      <alignment horizontal="right"/>
    </xf>
    <xf numFmtId="165" fontId="2" fillId="0" borderId="0" xfId="174" applyNumberFormat="1" applyFont="1" applyFill="1" applyAlignment="1" applyProtection="1"/>
    <xf numFmtId="167" fontId="2" fillId="0" borderId="43" xfId="174" applyNumberFormat="1" applyFont="1" applyFill="1" applyBorder="1" applyAlignment="1" applyProtection="1">
      <alignment horizontal="right"/>
    </xf>
    <xf numFmtId="0" fontId="2" fillId="0" borderId="42" xfId="174" applyFont="1" applyFill="1" applyBorder="1" applyAlignment="1" applyProtection="1">
      <alignment horizontal="left"/>
    </xf>
    <xf numFmtId="4" fontId="2" fillId="0" borderId="0" xfId="174" applyNumberFormat="1" applyFont="1" applyFill="1" applyAlignment="1" applyProtection="1"/>
    <xf numFmtId="0" fontId="56" fillId="0" borderId="41" xfId="174" applyFont="1" applyFill="1" applyBorder="1" applyProtection="1"/>
    <xf numFmtId="0" fontId="56" fillId="0" borderId="42" xfId="174" applyFont="1" applyFill="1" applyBorder="1" applyProtection="1"/>
    <xf numFmtId="0" fontId="56" fillId="0" borderId="0" xfId="174" applyFont="1" applyFill="1" applyProtection="1"/>
    <xf numFmtId="0" fontId="2" fillId="0" borderId="43" xfId="174" applyFont="1" applyFill="1" applyBorder="1" applyAlignment="1" applyProtection="1">
      <alignment horizontal="left" indent="2"/>
    </xf>
    <xf numFmtId="0" fontId="4" fillId="32" borderId="43" xfId="174" applyFont="1" applyFill="1" applyBorder="1" applyAlignment="1" applyProtection="1">
      <alignment horizontal="right"/>
    </xf>
    <xf numFmtId="0" fontId="2" fillId="0" borderId="0" xfId="174" applyFont="1" applyFill="1" applyAlignment="1" applyProtection="1">
      <alignment horizontal="center"/>
    </xf>
    <xf numFmtId="0" fontId="2" fillId="0" borderId="42" xfId="174" applyFont="1" applyFill="1" applyBorder="1" applyAlignment="1" applyProtection="1">
      <alignment horizontal="center"/>
    </xf>
    <xf numFmtId="3" fontId="2" fillId="0" borderId="0" xfId="174" applyNumberFormat="1" applyFont="1" applyFill="1" applyAlignment="1" applyProtection="1"/>
    <xf numFmtId="0" fontId="2" fillId="0" borderId="0" xfId="174" applyFont="1" applyFill="1" applyAlignment="1" applyProtection="1">
      <alignment vertical="center"/>
    </xf>
    <xf numFmtId="0" fontId="2" fillId="0" borderId="0" xfId="174" applyFont="1" applyFill="1" applyAlignment="1" applyProtection="1">
      <alignment vertical="top"/>
    </xf>
    <xf numFmtId="0" fontId="2" fillId="0" borderId="44" xfId="174" applyFont="1" applyFill="1" applyBorder="1" applyAlignment="1" applyProtection="1">
      <alignment vertical="top"/>
    </xf>
    <xf numFmtId="0" fontId="2" fillId="0" borderId="45" xfId="174" applyFont="1" applyFill="1" applyBorder="1" applyAlignment="1" applyProtection="1">
      <alignment vertical="center"/>
    </xf>
    <xf numFmtId="0" fontId="2" fillId="32" borderId="44" xfId="174" applyFont="1" applyFill="1" applyBorder="1" applyAlignment="1" applyProtection="1">
      <alignment vertical="top"/>
    </xf>
    <xf numFmtId="0" fontId="4" fillId="32" borderId="45" xfId="174" applyFont="1" applyFill="1" applyBorder="1" applyAlignment="1" applyProtection="1">
      <alignment vertical="top"/>
    </xf>
    <xf numFmtId="0" fontId="2" fillId="32" borderId="45" xfId="174" applyFont="1" applyFill="1" applyBorder="1" applyAlignment="1" applyProtection="1">
      <alignment vertical="top" wrapText="1"/>
    </xf>
    <xf numFmtId="3" fontId="5" fillId="32" borderId="46" xfId="192" applyNumberFormat="1" applyFont="1" applyFill="1" applyBorder="1" applyAlignment="1" applyProtection="1">
      <alignment horizontal="left" vertical="top" indent="2"/>
    </xf>
    <xf numFmtId="0" fontId="2" fillId="32" borderId="0" xfId="174" applyFont="1" applyFill="1" applyAlignment="1" applyProtection="1">
      <alignment vertical="top"/>
    </xf>
    <xf numFmtId="3" fontId="5" fillId="32" borderId="46" xfId="192" applyNumberFormat="1" applyFont="1" applyFill="1" applyBorder="1" applyAlignment="1" applyProtection="1">
      <alignment horizontal="left" indent="2"/>
    </xf>
    <xf numFmtId="0" fontId="54" fillId="0" borderId="34" xfId="174" applyFont="1" applyFill="1" applyBorder="1" applyProtection="1"/>
    <xf numFmtId="0" fontId="6" fillId="0" borderId="47" xfId="174" applyFont="1" applyFill="1" applyBorder="1" applyProtection="1"/>
    <xf numFmtId="0" fontId="22" fillId="0" borderId="47" xfId="174" applyFont="1" applyFill="1" applyBorder="1" applyProtection="1"/>
    <xf numFmtId="0" fontId="22" fillId="0" borderId="39" xfId="174" applyFont="1" applyFill="1" applyBorder="1" applyAlignment="1" applyProtection="1">
      <alignment horizontal="right"/>
    </xf>
    <xf numFmtId="0" fontId="22" fillId="0" borderId="0" xfId="174" applyFont="1" applyFill="1" applyAlignment="1" applyProtection="1"/>
    <xf numFmtId="0" fontId="31" fillId="0" borderId="0" xfId="174" applyFont="1" applyFill="1" applyProtection="1"/>
    <xf numFmtId="0" fontId="31" fillId="0" borderId="0" xfId="174" applyFont="1" applyFill="1" applyAlignment="1" applyProtection="1">
      <alignment horizontal="right"/>
    </xf>
    <xf numFmtId="0" fontId="31" fillId="0" borderId="0" xfId="174" applyFont="1" applyFill="1" applyAlignment="1" applyProtection="1"/>
    <xf numFmtId="0" fontId="22" fillId="0" borderId="0" xfId="174" applyFont="1" applyFill="1" applyAlignment="1" applyProtection="1">
      <alignment horizontal="left"/>
    </xf>
    <xf numFmtId="0" fontId="22" fillId="0" borderId="0" xfId="174" applyFont="1" applyFill="1" applyAlignment="1" applyProtection="1">
      <alignment horizontal="right"/>
    </xf>
    <xf numFmtId="0" fontId="5" fillId="0" borderId="0" xfId="174" applyFont="1" applyFill="1" applyProtection="1"/>
    <xf numFmtId="164" fontId="5" fillId="0" borderId="0" xfId="174" applyNumberFormat="1" applyFont="1" applyFill="1" applyAlignment="1" applyProtection="1"/>
    <xf numFmtId="0" fontId="30" fillId="32" borderId="0" xfId="176" applyFont="1" applyFill="1" applyProtection="1"/>
    <xf numFmtId="0" fontId="22" fillId="32" borderId="0" xfId="187" applyFont="1" applyFill="1" applyProtection="1"/>
    <xf numFmtId="0" fontId="31" fillId="32" borderId="0" xfId="176" applyFont="1" applyFill="1" applyAlignment="1" applyProtection="1">
      <alignment horizontal="right"/>
    </xf>
    <xf numFmtId="0" fontId="31" fillId="32" borderId="0" xfId="176" applyFont="1" applyFill="1" applyProtection="1"/>
    <xf numFmtId="0" fontId="21" fillId="32" borderId="0" xfId="184" applyFont="1" applyFill="1" applyProtection="1"/>
    <xf numFmtId="0" fontId="2" fillId="32" borderId="0" xfId="184" applyFont="1" applyFill="1" applyProtection="1"/>
    <xf numFmtId="0" fontId="2" fillId="32" borderId="0" xfId="184" applyFont="1" applyFill="1" applyAlignment="1" applyProtection="1">
      <alignment horizontal="right"/>
    </xf>
    <xf numFmtId="0" fontId="2" fillId="32" borderId="0" xfId="184" applyFill="1" applyProtection="1"/>
    <xf numFmtId="0" fontId="3" fillId="32" borderId="48" xfId="184" applyFont="1" applyFill="1" applyBorder="1" applyProtection="1"/>
    <xf numFmtId="0" fontId="3" fillId="32" borderId="49" xfId="184" applyFont="1" applyFill="1" applyBorder="1" applyProtection="1"/>
    <xf numFmtId="0" fontId="3" fillId="32" borderId="50" xfId="184" applyFont="1" applyFill="1" applyBorder="1" applyAlignment="1" applyProtection="1">
      <alignment horizontal="right"/>
    </xf>
    <xf numFmtId="0" fontId="3" fillId="32" borderId="0" xfId="184" applyFont="1" applyFill="1" applyProtection="1"/>
    <xf numFmtId="0" fontId="22" fillId="32" borderId="14" xfId="184" applyFont="1" applyFill="1" applyBorder="1" applyProtection="1"/>
    <xf numFmtId="0" fontId="22" fillId="32" borderId="0" xfId="184" applyFont="1" applyFill="1" applyBorder="1" applyProtection="1"/>
    <xf numFmtId="0" fontId="22" fillId="32" borderId="40" xfId="184" applyFont="1" applyFill="1" applyBorder="1" applyAlignment="1" applyProtection="1">
      <alignment horizontal="right"/>
    </xf>
    <xf numFmtId="0" fontId="22" fillId="32" borderId="0" xfId="184" applyFont="1" applyFill="1" applyProtection="1"/>
    <xf numFmtId="0" fontId="22" fillId="32" borderId="0" xfId="184" applyFont="1" applyFill="1" applyAlignment="1" applyProtection="1">
      <alignment vertical="center"/>
    </xf>
    <xf numFmtId="0" fontId="22" fillId="32" borderId="51" xfId="184" applyFont="1" applyFill="1" applyBorder="1" applyProtection="1"/>
    <xf numFmtId="0" fontId="22" fillId="32" borderId="15" xfId="184" applyFont="1" applyFill="1" applyBorder="1" applyProtection="1"/>
    <xf numFmtId="0" fontId="22" fillId="32" borderId="52" xfId="184" applyFont="1" applyFill="1" applyBorder="1" applyAlignment="1" applyProtection="1">
      <alignment horizontal="right"/>
    </xf>
    <xf numFmtId="0" fontId="4" fillId="32" borderId="53" xfId="184" applyFont="1" applyFill="1" applyBorder="1" applyProtection="1"/>
    <xf numFmtId="0" fontId="6" fillId="32" borderId="54" xfId="184" applyFont="1" applyFill="1" applyBorder="1" applyProtection="1"/>
    <xf numFmtId="0" fontId="2" fillId="32" borderId="55" xfId="184" applyFont="1" applyFill="1" applyBorder="1" applyProtection="1"/>
    <xf numFmtId="0" fontId="2" fillId="32" borderId="56" xfId="184" applyFont="1" applyFill="1" applyBorder="1" applyAlignment="1" applyProtection="1">
      <alignment horizontal="right"/>
    </xf>
    <xf numFmtId="0" fontId="2" fillId="32" borderId="0" xfId="184" applyFont="1" applyFill="1" applyAlignment="1" applyProtection="1"/>
    <xf numFmtId="0" fontId="6" fillId="32" borderId="53" xfId="184" applyFont="1" applyFill="1" applyBorder="1" applyProtection="1"/>
    <xf numFmtId="0" fontId="6" fillId="32" borderId="42" xfId="184" applyFont="1" applyFill="1" applyBorder="1" applyProtection="1"/>
    <xf numFmtId="0" fontId="5" fillId="32" borderId="56" xfId="184" applyFont="1" applyFill="1" applyBorder="1" applyAlignment="1" applyProtection="1">
      <alignment horizontal="right"/>
    </xf>
    <xf numFmtId="0" fontId="2" fillId="32" borderId="0" xfId="184" applyFont="1" applyFill="1" applyBorder="1" applyProtection="1"/>
    <xf numFmtId="0" fontId="6" fillId="32" borderId="41" xfId="184" applyFont="1" applyFill="1" applyBorder="1" applyProtection="1"/>
    <xf numFmtId="0" fontId="2" fillId="32" borderId="42" xfId="184" applyFont="1" applyFill="1" applyBorder="1" applyProtection="1"/>
    <xf numFmtId="0" fontId="6" fillId="32" borderId="41" xfId="184" applyFont="1" applyFill="1" applyBorder="1" applyAlignment="1" applyProtection="1">
      <alignment vertical="center"/>
    </xf>
    <xf numFmtId="0" fontId="2" fillId="32" borderId="0" xfId="184" applyFont="1" applyFill="1" applyAlignment="1" applyProtection="1">
      <alignment horizontal="center"/>
    </xf>
    <xf numFmtId="0" fontId="2" fillId="32" borderId="41" xfId="184" applyFont="1" applyFill="1" applyBorder="1" applyProtection="1"/>
    <xf numFmtId="0" fontId="2" fillId="0" borderId="42" xfId="171" applyFont="1" applyFill="1" applyBorder="1" applyAlignment="1" applyProtection="1">
      <alignment horizontal="left"/>
    </xf>
    <xf numFmtId="3" fontId="5" fillId="32" borderId="43" xfId="192" applyNumberFormat="1" applyFont="1" applyFill="1" applyBorder="1" applyAlignment="1" applyProtection="1">
      <alignment horizontal="right"/>
    </xf>
    <xf numFmtId="0" fontId="2" fillId="32" borderId="43" xfId="184" applyFont="1" applyFill="1" applyBorder="1" applyAlignment="1" applyProtection="1">
      <alignment horizontal="right"/>
    </xf>
    <xf numFmtId="4" fontId="2" fillId="32" borderId="0" xfId="184" applyNumberFormat="1" applyFont="1" applyFill="1" applyAlignment="1" applyProtection="1"/>
    <xf numFmtId="0" fontId="5" fillId="32" borderId="56" xfId="184" applyFont="1" applyFill="1" applyBorder="1" applyAlignment="1" applyProtection="1">
      <alignment horizontal="right" vertical="center"/>
    </xf>
    <xf numFmtId="0" fontId="2" fillId="32" borderId="0" xfId="184" applyFont="1" applyFill="1" applyAlignment="1" applyProtection="1">
      <alignment vertical="center"/>
    </xf>
    <xf numFmtId="0" fontId="22" fillId="32" borderId="57" xfId="184" applyFont="1" applyFill="1" applyBorder="1" applyProtection="1"/>
    <xf numFmtId="0" fontId="22" fillId="32" borderId="58" xfId="184" applyFont="1" applyFill="1" applyBorder="1" applyProtection="1"/>
    <xf numFmtId="0" fontId="22" fillId="32" borderId="59" xfId="184" applyFont="1" applyFill="1" applyBorder="1" applyAlignment="1" applyProtection="1">
      <alignment horizontal="right"/>
    </xf>
    <xf numFmtId="0" fontId="22" fillId="32" borderId="0" xfId="184" applyFont="1" applyFill="1" applyAlignment="1" applyProtection="1"/>
    <xf numFmtId="0" fontId="31" fillId="32" borderId="0" xfId="184" applyFont="1" applyFill="1" applyProtection="1"/>
    <xf numFmtId="0" fontId="22" fillId="32" borderId="0" xfId="184" applyFont="1" applyFill="1" applyAlignment="1" applyProtection="1">
      <alignment horizontal="left"/>
    </xf>
    <xf numFmtId="0" fontId="31" fillId="32" borderId="0" xfId="184" applyFont="1" applyFill="1" applyAlignment="1" applyProtection="1">
      <alignment horizontal="right"/>
    </xf>
    <xf numFmtId="0" fontId="31" fillId="32" borderId="0" xfId="184" applyFont="1" applyFill="1" applyAlignment="1" applyProtection="1"/>
    <xf numFmtId="0" fontId="2" fillId="32" borderId="0" xfId="184" applyFill="1" applyAlignment="1" applyProtection="1">
      <alignment horizontal="right"/>
    </xf>
    <xf numFmtId="0" fontId="21" fillId="32" borderId="14" xfId="186" applyFont="1" applyFill="1" applyBorder="1" applyAlignment="1" applyProtection="1"/>
    <xf numFmtId="0" fontId="21" fillId="32" borderId="0" xfId="186" applyFont="1" applyFill="1" applyBorder="1" applyAlignment="1" applyProtection="1"/>
    <xf numFmtId="0" fontId="2" fillId="32" borderId="0" xfId="171" applyFill="1" applyProtection="1"/>
    <xf numFmtId="0" fontId="3" fillId="32" borderId="14" xfId="171" applyFont="1" applyFill="1" applyBorder="1" applyAlignment="1" applyProtection="1">
      <alignment horizontal="center" vertical="center"/>
    </xf>
    <xf numFmtId="0" fontId="3" fillId="32" borderId="60" xfId="171" applyFont="1" applyFill="1" applyBorder="1" applyAlignment="1" applyProtection="1">
      <alignment horizontal="center" vertical="center"/>
    </xf>
    <xf numFmtId="0" fontId="3" fillId="32" borderId="38" xfId="171" applyFont="1" applyFill="1" applyBorder="1" applyAlignment="1" applyProtection="1">
      <alignment horizontal="center" vertical="center"/>
    </xf>
    <xf numFmtId="0" fontId="6" fillId="32" borderId="52" xfId="184" applyFont="1" applyFill="1" applyBorder="1" applyAlignment="1" applyProtection="1">
      <alignment vertical="center" wrapText="1"/>
    </xf>
    <xf numFmtId="0" fontId="6" fillId="32" borderId="53" xfId="171" applyFont="1" applyFill="1" applyBorder="1" applyAlignment="1" applyProtection="1">
      <alignment vertical="center"/>
    </xf>
    <xf numFmtId="0" fontId="2" fillId="32" borderId="54" xfId="171" applyFont="1" applyFill="1" applyBorder="1" applyAlignment="1" applyProtection="1">
      <alignment vertical="center"/>
    </xf>
    <xf numFmtId="0" fontId="2" fillId="32" borderId="56" xfId="171" applyFont="1" applyFill="1" applyBorder="1" applyAlignment="1" applyProtection="1">
      <alignment vertical="center"/>
    </xf>
    <xf numFmtId="0" fontId="2" fillId="32" borderId="14" xfId="171" applyFont="1" applyFill="1" applyBorder="1" applyAlignment="1" applyProtection="1">
      <alignment vertical="center"/>
    </xf>
    <xf numFmtId="0" fontId="2" fillId="32" borderId="53" xfId="171" applyFont="1" applyFill="1" applyBorder="1" applyAlignment="1" applyProtection="1">
      <alignment vertical="center"/>
    </xf>
    <xf numFmtId="0" fontId="6" fillId="32" borderId="53" xfId="171" applyFont="1" applyFill="1" applyBorder="1" applyAlignment="1" applyProtection="1">
      <alignment horizontal="right" vertical="center"/>
    </xf>
    <xf numFmtId="0" fontId="6" fillId="32" borderId="54" xfId="171" applyFont="1" applyFill="1" applyBorder="1" applyAlignment="1" applyProtection="1">
      <alignment vertical="center"/>
    </xf>
    <xf numFmtId="0" fontId="6" fillId="32" borderId="56" xfId="171" applyFont="1" applyFill="1" applyBorder="1" applyAlignment="1" applyProtection="1">
      <alignment vertical="center"/>
    </xf>
    <xf numFmtId="0" fontId="6" fillId="32" borderId="14" xfId="171" applyFont="1" applyFill="1" applyBorder="1" applyAlignment="1" applyProtection="1">
      <alignment vertical="center"/>
    </xf>
    <xf numFmtId="0" fontId="2" fillId="32" borderId="54" xfId="171" applyFont="1" applyFill="1" applyBorder="1" applyAlignment="1" applyProtection="1">
      <alignment horizontal="right" vertical="center"/>
    </xf>
    <xf numFmtId="3" fontId="5" fillId="32" borderId="56" xfId="192" applyNumberFormat="1" applyFont="1" applyFill="1" applyBorder="1" applyAlignment="1" applyProtection="1">
      <alignment horizontal="right" vertical="center"/>
    </xf>
    <xf numFmtId="3" fontId="5" fillId="32" borderId="14" xfId="192" applyNumberFormat="1" applyFont="1" applyFill="1" applyBorder="1" applyAlignment="1" applyProtection="1">
      <alignment horizontal="right" vertical="center"/>
    </xf>
    <xf numFmtId="0" fontId="2" fillId="32" borderId="56" xfId="171" applyFont="1" applyFill="1" applyBorder="1" applyAlignment="1" applyProtection="1">
      <alignment horizontal="right" vertical="center"/>
    </xf>
    <xf numFmtId="0" fontId="2" fillId="32" borderId="14" xfId="171" applyFont="1" applyFill="1" applyBorder="1" applyAlignment="1" applyProtection="1">
      <alignment horizontal="right" vertical="center"/>
    </xf>
    <xf numFmtId="0" fontId="6" fillId="32" borderId="54" xfId="171" applyFont="1" applyFill="1" applyBorder="1" applyAlignment="1" applyProtection="1">
      <alignment vertical="center" wrapText="1"/>
    </xf>
    <xf numFmtId="0" fontId="6" fillId="32" borderId="44" xfId="171" applyFont="1" applyFill="1" applyBorder="1" applyAlignment="1" applyProtection="1">
      <alignment horizontal="right" vertical="center"/>
    </xf>
    <xf numFmtId="0" fontId="6" fillId="32" borderId="0" xfId="171" applyFont="1" applyFill="1" applyBorder="1" applyAlignment="1" applyProtection="1">
      <alignment vertical="center" wrapText="1"/>
    </xf>
    <xf numFmtId="3" fontId="5" fillId="32" borderId="40" xfId="192" applyNumberFormat="1" applyFont="1" applyFill="1" applyBorder="1" applyAlignment="1" applyProtection="1">
      <alignment horizontal="right" vertical="center"/>
    </xf>
    <xf numFmtId="0" fontId="6" fillId="32" borderId="34" xfId="171" applyFont="1" applyFill="1" applyBorder="1" applyAlignment="1" applyProtection="1">
      <alignment horizontal="right" vertical="center"/>
    </xf>
    <xf numFmtId="0" fontId="6" fillId="32" borderId="47" xfId="171" applyFont="1" applyFill="1" applyBorder="1" applyAlignment="1" applyProtection="1">
      <alignment vertical="center" wrapText="1"/>
    </xf>
    <xf numFmtId="3" fontId="5" fillId="32" borderId="39" xfId="192" applyNumberFormat="1" applyFont="1" applyFill="1" applyBorder="1" applyAlignment="1" applyProtection="1">
      <alignment horizontal="right" vertical="center"/>
    </xf>
    <xf numFmtId="0" fontId="2" fillId="32" borderId="0" xfId="171" applyFont="1" applyFill="1" applyAlignment="1" applyProtection="1">
      <alignment vertical="center"/>
    </xf>
    <xf numFmtId="0" fontId="5" fillId="32" borderId="0" xfId="171" applyFont="1" applyFill="1" applyProtection="1"/>
    <xf numFmtId="164" fontId="5" fillId="32" borderId="0" xfId="171" applyNumberFormat="1" applyFont="1" applyFill="1" applyProtection="1"/>
    <xf numFmtId="0" fontId="3" fillId="32" borderId="14" xfId="0" applyFont="1" applyFill="1" applyBorder="1" applyAlignment="1" applyProtection="1"/>
    <xf numFmtId="0" fontId="5" fillId="32" borderId="0" xfId="0" applyFont="1" applyFill="1" applyProtection="1"/>
    <xf numFmtId="0" fontId="38" fillId="32" borderId="0" xfId="30" quotePrefix="1" applyFont="1" applyFill="1" applyProtection="1"/>
    <xf numFmtId="0" fontId="38" fillId="32" borderId="0" xfId="35" quotePrefix="1" applyFont="1" applyFill="1" applyProtection="1"/>
    <xf numFmtId="0" fontId="6" fillId="32" borderId="32" xfId="0" applyFont="1" applyFill="1" applyBorder="1" applyAlignment="1" applyProtection="1">
      <alignment horizontal="left" vertical="top"/>
    </xf>
    <xf numFmtId="0" fontId="0" fillId="32" borderId="32" xfId="0" applyFill="1" applyBorder="1" applyAlignment="1" applyProtection="1">
      <alignment vertical="top"/>
    </xf>
    <xf numFmtId="0" fontId="6" fillId="32" borderId="32" xfId="0" applyFont="1" applyFill="1" applyBorder="1" applyAlignment="1" applyProtection="1">
      <alignment horizontal="center" vertical="top" wrapText="1"/>
    </xf>
    <xf numFmtId="0" fontId="6" fillId="32" borderId="0" xfId="0" applyFont="1" applyFill="1" applyBorder="1" applyAlignment="1" applyProtection="1">
      <alignment horizontal="center" vertical="top" wrapText="1"/>
    </xf>
    <xf numFmtId="0" fontId="0" fillId="32" borderId="11" xfId="0" applyFill="1" applyBorder="1" applyProtection="1"/>
    <xf numFmtId="0" fontId="20" fillId="32" borderId="11" xfId="0" applyFont="1" applyFill="1" applyBorder="1" applyProtection="1"/>
    <xf numFmtId="0" fontId="20" fillId="32" borderId="0" xfId="0" applyFont="1" applyFill="1" applyBorder="1" applyAlignment="1" applyProtection="1">
      <alignment horizontal="left"/>
    </xf>
    <xf numFmtId="0" fontId="20" fillId="32" borderId="0" xfId="0" applyFont="1" applyFill="1" applyBorder="1" applyProtection="1"/>
    <xf numFmtId="164" fontId="20" fillId="32" borderId="0" xfId="0" applyNumberFormat="1" applyFont="1" applyFill="1" applyBorder="1" applyProtection="1"/>
    <xf numFmtId="0" fontId="2" fillId="32" borderId="33" xfId="0" applyFont="1" applyFill="1" applyBorder="1" applyAlignment="1" applyProtection="1">
      <alignment horizontal="center" vertical="top"/>
    </xf>
    <xf numFmtId="0" fontId="68" fillId="32" borderId="0" xfId="0" applyFont="1" applyFill="1" applyProtection="1"/>
    <xf numFmtId="0" fontId="0" fillId="32" borderId="33" xfId="0" applyFill="1" applyBorder="1" applyProtection="1"/>
    <xf numFmtId="0" fontId="5" fillId="32" borderId="11" xfId="0" applyFont="1" applyFill="1" applyBorder="1" applyAlignment="1" applyProtection="1">
      <alignment horizontal="left" vertical="center" wrapText="1" indent="3"/>
    </xf>
    <xf numFmtId="0" fontId="0" fillId="32" borderId="31" xfId="0" applyFill="1" applyBorder="1" applyProtection="1"/>
    <xf numFmtId="0" fontId="2" fillId="32" borderId="0" xfId="0" applyFont="1" applyFill="1" applyBorder="1" applyAlignment="1" applyProtection="1">
      <alignment vertical="center" wrapText="1"/>
    </xf>
    <xf numFmtId="164" fontId="5" fillId="32" borderId="0" xfId="192" applyNumberFormat="1" applyFont="1" applyFill="1" applyBorder="1" applyAlignment="1" applyProtection="1">
      <alignment horizontal="right" vertical="top"/>
    </xf>
    <xf numFmtId="0" fontId="0" fillId="32" borderId="11" xfId="0" applyFont="1" applyFill="1" applyBorder="1" applyAlignment="1" applyProtection="1">
      <alignment horizontal="left" vertical="center" wrapText="1"/>
    </xf>
    <xf numFmtId="0" fontId="30" fillId="0" borderId="0" xfId="174" applyFont="1" applyFill="1" applyProtection="1"/>
    <xf numFmtId="0" fontId="22" fillId="0" borderId="0" xfId="186" applyFont="1" applyFill="1" applyProtection="1"/>
    <xf numFmtId="0" fontId="4" fillId="0" borderId="0" xfId="174" applyFont="1" applyProtection="1"/>
    <xf numFmtId="0" fontId="2" fillId="0" borderId="0" xfId="174" applyFont="1" applyProtection="1"/>
    <xf numFmtId="0" fontId="5" fillId="0" borderId="0" xfId="174" applyFont="1" applyProtection="1"/>
    <xf numFmtId="0" fontId="5" fillId="32" borderId="0" xfId="174" applyFont="1" applyFill="1" applyProtection="1"/>
    <xf numFmtId="0" fontId="2" fillId="0" borderId="0" xfId="186" applyFont="1" applyFill="1" applyProtection="1"/>
    <xf numFmtId="0" fontId="21" fillId="0" borderId="0" xfId="174" applyFont="1" applyAlignment="1" applyProtection="1">
      <alignment vertical="top"/>
    </xf>
    <xf numFmtId="0" fontId="2" fillId="0" borderId="0" xfId="174" applyFont="1" applyAlignment="1" applyProtection="1">
      <alignment vertical="top"/>
    </xf>
    <xf numFmtId="0" fontId="2" fillId="32" borderId="0" xfId="174" applyFont="1" applyFill="1" applyBorder="1" applyProtection="1"/>
    <xf numFmtId="0" fontId="2" fillId="0" borderId="50" xfId="174" applyFont="1" applyBorder="1" applyProtection="1"/>
    <xf numFmtId="164" fontId="2" fillId="0" borderId="40" xfId="174" applyNumberFormat="1" applyFont="1" applyBorder="1" applyAlignment="1" applyProtection="1">
      <alignment vertical="top"/>
    </xf>
    <xf numFmtId="0" fontId="2" fillId="32" borderId="14" xfId="174" applyFont="1" applyFill="1" applyBorder="1" applyAlignment="1" applyProtection="1">
      <alignment horizontal="left" vertical="top" wrapText="1"/>
    </xf>
    <xf numFmtId="0" fontId="2" fillId="32" borderId="0" xfId="174" applyFont="1" applyFill="1" applyBorder="1" applyAlignment="1" applyProtection="1">
      <alignment horizontal="left" vertical="top" wrapText="1"/>
    </xf>
    <xf numFmtId="0" fontId="5" fillId="0" borderId="13" xfId="174" applyFont="1" applyBorder="1" applyProtection="1"/>
    <xf numFmtId="0" fontId="2" fillId="0" borderId="40" xfId="174" applyFont="1" applyBorder="1" applyAlignment="1" applyProtection="1">
      <alignment vertical="top"/>
    </xf>
    <xf numFmtId="0" fontId="2" fillId="32" borderId="61" xfId="174" applyFont="1" applyFill="1" applyBorder="1" applyAlignment="1" applyProtection="1">
      <alignment vertical="top"/>
    </xf>
    <xf numFmtId="0" fontId="2" fillId="32" borderId="30" xfId="174" applyFont="1" applyFill="1" applyBorder="1" applyAlignment="1" applyProtection="1">
      <alignment vertical="top"/>
    </xf>
    <xf numFmtId="0" fontId="2" fillId="32" borderId="14" xfId="174" applyFont="1" applyFill="1" applyBorder="1" applyAlignment="1" applyProtection="1">
      <alignment vertical="top"/>
    </xf>
    <xf numFmtId="0" fontId="2" fillId="32" borderId="0" xfId="174" applyFont="1" applyFill="1" applyBorder="1" applyAlignment="1" applyProtection="1">
      <alignment vertical="top" wrapText="1"/>
    </xf>
    <xf numFmtId="0" fontId="5" fillId="0" borderId="62" xfId="174" applyFont="1" applyBorder="1" applyProtection="1"/>
    <xf numFmtId="0" fontId="2" fillId="0" borderId="63" xfId="174" applyFont="1" applyBorder="1" applyAlignment="1" applyProtection="1">
      <alignment vertical="top"/>
    </xf>
    <xf numFmtId="0" fontId="5" fillId="0" borderId="64" xfId="174" applyFont="1" applyBorder="1" applyProtection="1"/>
    <xf numFmtId="0" fontId="2" fillId="0" borderId="65" xfId="174" applyFont="1" applyBorder="1" applyAlignment="1" applyProtection="1">
      <alignment vertical="top"/>
    </xf>
    <xf numFmtId="0" fontId="2" fillId="32" borderId="0" xfId="174" applyFont="1" applyFill="1" applyBorder="1" applyAlignment="1" applyProtection="1">
      <alignment vertical="top"/>
    </xf>
    <xf numFmtId="0" fontId="2" fillId="32" borderId="14" xfId="174" applyFont="1" applyFill="1" applyBorder="1" applyAlignment="1" applyProtection="1">
      <alignment horizontal="right" wrapText="1"/>
    </xf>
    <xf numFmtId="0" fontId="2" fillId="32" borderId="0" xfId="174" applyFont="1" applyFill="1" applyBorder="1" applyAlignment="1" applyProtection="1">
      <alignment horizontal="left" wrapText="1"/>
    </xf>
    <xf numFmtId="0" fontId="2" fillId="0" borderId="40" xfId="174" applyFont="1" applyBorder="1" applyProtection="1"/>
    <xf numFmtId="0" fontId="2" fillId="32" borderId="51" xfId="174" applyFont="1" applyFill="1" applyBorder="1" applyAlignment="1" applyProtection="1">
      <alignment horizontal="right" wrapText="1"/>
    </xf>
    <xf numFmtId="0" fontId="2" fillId="32" borderId="15" xfId="174" applyFont="1" applyFill="1" applyBorder="1" applyAlignment="1" applyProtection="1">
      <alignment horizontal="left" wrapText="1"/>
    </xf>
    <xf numFmtId="0" fontId="2" fillId="0" borderId="52" xfId="174" applyFont="1" applyBorder="1" applyProtection="1"/>
    <xf numFmtId="0" fontId="5" fillId="0" borderId="11" xfId="0" applyFont="1" applyBorder="1" applyAlignment="1" applyProtection="1">
      <alignment horizontal="left" vertical="top" wrapText="1" indent="2"/>
    </xf>
    <xf numFmtId="0" fontId="5" fillId="32" borderId="11" xfId="0" applyFont="1" applyFill="1" applyBorder="1" applyAlignment="1" applyProtection="1">
      <alignment horizontal="left" vertical="top" wrapText="1" indent="2"/>
    </xf>
    <xf numFmtId="0" fontId="26" fillId="32" borderId="0" xfId="30" quotePrefix="1" applyFont="1" applyFill="1" applyProtection="1"/>
    <xf numFmtId="0" fontId="26" fillId="32" borderId="0" xfId="35" quotePrefix="1" applyFont="1" applyFill="1" applyProtection="1"/>
    <xf numFmtId="164" fontId="20" fillId="32" borderId="11" xfId="0" applyNumberFormat="1" applyFont="1" applyFill="1" applyBorder="1" applyAlignment="1" applyProtection="1">
      <alignment vertical="top"/>
    </xf>
    <xf numFmtId="0" fontId="20" fillId="32" borderId="0" xfId="0" applyFont="1" applyFill="1" applyBorder="1" applyAlignment="1" applyProtection="1">
      <alignment horizontal="left" vertical="top"/>
    </xf>
    <xf numFmtId="0" fontId="20" fillId="32" borderId="0" xfId="0" applyFont="1" applyFill="1" applyBorder="1" applyAlignment="1" applyProtection="1">
      <alignment vertical="top"/>
    </xf>
    <xf numFmtId="164" fontId="20" fillId="32" borderId="0" xfId="0" applyNumberFormat="1" applyFont="1" applyFill="1" applyBorder="1" applyAlignment="1" applyProtection="1">
      <alignment vertical="top"/>
    </xf>
    <xf numFmtId="0" fontId="5" fillId="32" borderId="11" xfId="0" applyFont="1" applyFill="1" applyBorder="1" applyAlignment="1" applyProtection="1">
      <alignment horizontal="left" vertical="top" wrapText="1" indent="3"/>
    </xf>
    <xf numFmtId="0" fontId="5" fillId="32" borderId="11" xfId="0" applyFont="1" applyFill="1" applyBorder="1" applyAlignment="1" applyProtection="1">
      <alignment horizontal="left" vertical="top" wrapText="1" indent="4"/>
    </xf>
    <xf numFmtId="4" fontId="6" fillId="32" borderId="11" xfId="192" applyNumberFormat="1" applyFont="1" applyFill="1" applyBorder="1" applyAlignment="1" applyProtection="1">
      <alignment vertical="top"/>
    </xf>
    <xf numFmtId="0" fontId="6" fillId="0" borderId="25" xfId="174" applyFont="1" applyFill="1" applyBorder="1" applyAlignment="1" applyProtection="1">
      <alignment horizontal="center" vertical="center" wrapText="1"/>
    </xf>
    <xf numFmtId="164" fontId="38" fillId="32" borderId="25" xfId="192" applyNumberFormat="1" applyFont="1" applyFill="1" applyBorder="1" applyAlignment="1" applyProtection="1">
      <alignment horizontal="left"/>
    </xf>
    <xf numFmtId="0" fontId="6" fillId="32" borderId="66" xfId="184" applyFont="1" applyFill="1" applyBorder="1" applyAlignment="1" applyProtection="1">
      <alignment vertical="center" wrapText="1"/>
    </xf>
    <xf numFmtId="14" fontId="6" fillId="0" borderId="0" xfId="171" applyNumberFormat="1" applyFont="1" applyFill="1" applyProtection="1"/>
    <xf numFmtId="4" fontId="6" fillId="32" borderId="67" xfId="186" applyNumberFormat="1" applyFont="1" applyFill="1" applyBorder="1" applyAlignment="1" applyProtection="1">
      <alignment horizontal="center" vertical="center"/>
    </xf>
    <xf numFmtId="0" fontId="5" fillId="32" borderId="0" xfId="0" applyFont="1" applyFill="1" applyAlignment="1" applyProtection="1">
      <alignment horizontal="right" vertical="top"/>
    </xf>
    <xf numFmtId="164" fontId="5" fillId="32" borderId="0" xfId="0" applyNumberFormat="1" applyFont="1" applyFill="1" applyAlignment="1" applyProtection="1">
      <alignment vertical="top"/>
    </xf>
    <xf numFmtId="4" fontId="4" fillId="32" borderId="16" xfId="186" applyNumberFormat="1" applyFont="1" applyFill="1" applyBorder="1" applyAlignment="1" applyProtection="1">
      <alignment horizontal="center" vertical="center"/>
    </xf>
    <xf numFmtId="4" fontId="4" fillId="32" borderId="0" xfId="186" applyNumberFormat="1" applyFont="1" applyFill="1" applyBorder="1" applyAlignment="1" applyProtection="1">
      <alignment horizontal="center" vertical="center"/>
    </xf>
    <xf numFmtId="4" fontId="4" fillId="32" borderId="17" xfId="186" applyNumberFormat="1" applyFont="1" applyFill="1" applyBorder="1" applyAlignment="1" applyProtection="1">
      <alignment horizontal="center" vertical="center"/>
    </xf>
    <xf numFmtId="4" fontId="6" fillId="32" borderId="68" xfId="186" applyNumberFormat="1" applyFont="1" applyFill="1" applyBorder="1" applyAlignment="1" applyProtection="1">
      <alignment horizontal="center" vertical="center" wrapText="1"/>
    </xf>
    <xf numFmtId="164" fontId="5" fillId="32" borderId="0" xfId="0" applyNumberFormat="1" applyFont="1" applyFill="1" applyProtection="1"/>
    <xf numFmtId="3" fontId="2" fillId="0" borderId="11" xfId="186" applyNumberFormat="1" applyFont="1" applyBorder="1" applyAlignment="1" applyProtection="1">
      <alignment horizontal="center" vertical="top"/>
    </xf>
    <xf numFmtId="0" fontId="6" fillId="32" borderId="11" xfId="0" applyFont="1" applyFill="1" applyBorder="1" applyAlignment="1" applyProtection="1">
      <alignment horizontal="left" vertical="center" wrapText="1"/>
    </xf>
    <xf numFmtId="164" fontId="4" fillId="32" borderId="17" xfId="186" applyNumberFormat="1" applyFont="1" applyFill="1" applyBorder="1" applyAlignment="1" applyProtection="1">
      <alignment vertical="center"/>
    </xf>
    <xf numFmtId="164" fontId="2" fillId="32" borderId="17" xfId="186" applyNumberFormat="1" applyFont="1" applyFill="1" applyBorder="1" applyAlignment="1" applyProtection="1">
      <alignment vertical="center"/>
    </xf>
    <xf numFmtId="164" fontId="2" fillId="32" borderId="17" xfId="186" applyNumberFormat="1" applyFont="1" applyFill="1" applyBorder="1" applyProtection="1"/>
    <xf numFmtId="164" fontId="2" fillId="31" borderId="17" xfId="192" applyNumberFormat="1" applyFont="1" applyFill="1" applyBorder="1" applyAlignment="1" applyProtection="1">
      <alignment vertical="top"/>
    </xf>
    <xf numFmtId="164" fontId="4" fillId="31" borderId="17" xfId="192" applyNumberFormat="1" applyFont="1" applyFill="1" applyBorder="1" applyAlignment="1" applyProtection="1">
      <alignment vertical="top"/>
    </xf>
    <xf numFmtId="164" fontId="5" fillId="32" borderId="17" xfId="186" applyNumberFormat="1" applyFont="1" applyFill="1" applyBorder="1" applyAlignment="1" applyProtection="1">
      <alignment vertical="center"/>
    </xf>
    <xf numFmtId="164" fontId="2" fillId="32" borderId="67" xfId="186" applyNumberFormat="1" applyFont="1" applyFill="1" applyBorder="1" applyAlignment="1" applyProtection="1">
      <alignment vertical="center"/>
    </xf>
    <xf numFmtId="164" fontId="3" fillId="32" borderId="20" xfId="186" applyNumberFormat="1" applyFont="1" applyFill="1" applyBorder="1" applyAlignment="1" applyProtection="1">
      <alignment vertical="center"/>
    </xf>
    <xf numFmtId="164" fontId="17" fillId="32" borderId="17" xfId="186" applyNumberFormat="1" applyFont="1" applyFill="1" applyBorder="1" applyAlignment="1" applyProtection="1">
      <alignment vertical="center"/>
    </xf>
    <xf numFmtId="164" fontId="6" fillId="32" borderId="0" xfId="186" applyNumberFormat="1" applyFont="1" applyFill="1" applyAlignment="1" applyProtection="1">
      <alignment vertical="center"/>
    </xf>
    <xf numFmtId="4" fontId="2" fillId="36" borderId="11" xfId="192" applyNumberFormat="1" applyFont="1" applyFill="1" applyBorder="1" applyProtection="1"/>
    <xf numFmtId="4" fontId="2" fillId="32" borderId="31" xfId="192" applyNumberFormat="1" applyFont="1" applyFill="1" applyBorder="1" applyProtection="1"/>
    <xf numFmtId="4" fontId="2" fillId="31" borderId="11" xfId="192" applyNumberFormat="1" applyFont="1" applyFill="1" applyBorder="1" applyProtection="1"/>
    <xf numFmtId="4" fontId="2" fillId="32" borderId="11" xfId="192" applyNumberFormat="1" applyFont="1" applyFill="1" applyBorder="1" applyProtection="1"/>
    <xf numFmtId="164" fontId="5" fillId="31" borderId="11" xfId="192" applyNumberFormat="1" applyFont="1" applyFill="1" applyBorder="1" applyAlignment="1" applyProtection="1">
      <alignment horizontal="right" vertical="top"/>
    </xf>
    <xf numFmtId="164" fontId="20" fillId="29" borderId="11" xfId="192" applyNumberFormat="1" applyFont="1" applyFill="1" applyBorder="1" applyAlignment="1" applyProtection="1">
      <alignment vertical="top"/>
    </xf>
    <xf numFmtId="164" fontId="6" fillId="29" borderId="11" xfId="192" applyNumberFormat="1" applyFont="1" applyFill="1" applyBorder="1" applyAlignment="1" applyProtection="1">
      <alignment vertical="top"/>
    </xf>
    <xf numFmtId="10" fontId="5" fillId="32" borderId="11" xfId="121" applyNumberFormat="1" applyFont="1" applyFill="1" applyBorder="1" applyAlignment="1" applyProtection="1">
      <alignment horizontal="right" vertical="top"/>
    </xf>
    <xf numFmtId="0" fontId="22" fillId="32" borderId="0" xfId="174" applyFont="1" applyFill="1" applyProtection="1"/>
    <xf numFmtId="0" fontId="22" fillId="32" borderId="47" xfId="174" applyFont="1" applyFill="1" applyBorder="1" applyProtection="1"/>
    <xf numFmtId="0" fontId="22" fillId="32" borderId="39" xfId="174" applyFont="1" applyFill="1" applyBorder="1" applyAlignment="1" applyProtection="1">
      <alignment horizontal="right"/>
    </xf>
    <xf numFmtId="0" fontId="2" fillId="32" borderId="42" xfId="174" applyFont="1" applyFill="1" applyBorder="1" applyAlignment="1" applyProtection="1">
      <alignment vertical="center"/>
    </xf>
    <xf numFmtId="0" fontId="2" fillId="32" borderId="45" xfId="174" applyFont="1" applyFill="1" applyBorder="1" applyAlignment="1" applyProtection="1">
      <alignment vertical="center" wrapText="1"/>
    </xf>
    <xf numFmtId="0" fontId="6" fillId="32" borderId="42" xfId="174" applyFont="1" applyFill="1" applyBorder="1" applyProtection="1"/>
    <xf numFmtId="0" fontId="4" fillId="32" borderId="42" xfId="174" applyFont="1" applyFill="1" applyBorder="1" applyProtection="1"/>
    <xf numFmtId="0" fontId="68" fillId="32" borderId="0" xfId="186" applyFont="1" applyFill="1" applyProtection="1"/>
    <xf numFmtId="0" fontId="68" fillId="32" borderId="0" xfId="0" applyFont="1" applyFill="1" applyAlignment="1" applyProtection="1">
      <alignment vertical="top"/>
    </xf>
    <xf numFmtId="0" fontId="6" fillId="32" borderId="11" xfId="0" applyFont="1" applyFill="1" applyBorder="1" applyAlignment="1" applyProtection="1">
      <alignment vertical="top" wrapText="1"/>
    </xf>
    <xf numFmtId="164" fontId="6" fillId="32" borderId="0" xfId="0" applyNumberFormat="1" applyFont="1" applyFill="1" applyAlignment="1" applyProtection="1">
      <alignment vertical="top"/>
    </xf>
    <xf numFmtId="0" fontId="5" fillId="35" borderId="11" xfId="0" applyFont="1" applyFill="1" applyBorder="1" applyAlignment="1" applyProtection="1">
      <alignment horizontal="center" vertical="top" wrapText="1"/>
    </xf>
    <xf numFmtId="0" fontId="69" fillId="32" borderId="0" xfId="30" applyFont="1" applyFill="1" applyAlignment="1" applyProtection="1">
      <alignment horizontal="center"/>
    </xf>
    <xf numFmtId="0" fontId="68" fillId="32" borderId="0" xfId="30" applyFont="1" applyFill="1" applyProtection="1"/>
    <xf numFmtId="4" fontId="6" fillId="32" borderId="11" xfId="192" applyNumberFormat="1" applyFont="1" applyFill="1" applyBorder="1" applyAlignment="1" applyProtection="1">
      <alignment horizontal="right" vertical="top"/>
    </xf>
    <xf numFmtId="4" fontId="2" fillId="32" borderId="11" xfId="192" applyNumberFormat="1" applyFont="1" applyFill="1" applyBorder="1" applyAlignment="1" applyProtection="1">
      <alignment vertical="top"/>
    </xf>
    <xf numFmtId="0" fontId="70" fillId="32" borderId="0" xfId="186" applyFont="1" applyFill="1" applyProtection="1"/>
    <xf numFmtId="164" fontId="6" fillId="29" borderId="41" xfId="174" applyNumberFormat="1" applyFont="1" applyFill="1" applyBorder="1" applyAlignment="1" applyProtection="1"/>
    <xf numFmtId="10" fontId="6" fillId="29" borderId="69" xfId="121" applyNumberFormat="1" applyFont="1" applyFill="1" applyBorder="1" applyProtection="1"/>
    <xf numFmtId="164" fontId="6" fillId="32" borderId="70" xfId="174" applyNumberFormat="1" applyFont="1" applyFill="1" applyBorder="1" applyAlignment="1" applyProtection="1"/>
    <xf numFmtId="0" fontId="2" fillId="29" borderId="0" xfId="174" applyFont="1" applyFill="1" applyProtection="1"/>
    <xf numFmtId="164" fontId="6" fillId="32" borderId="71" xfId="174" applyNumberFormat="1" applyFont="1" applyFill="1" applyBorder="1" applyAlignment="1" applyProtection="1"/>
    <xf numFmtId="164" fontId="2" fillId="31" borderId="41" xfId="192" applyNumberFormat="1" applyFont="1" applyFill="1" applyBorder="1" applyProtection="1"/>
    <xf numFmtId="164" fontId="2" fillId="32" borderId="43" xfId="192" applyNumberFormat="1" applyFont="1" applyFill="1" applyBorder="1" applyProtection="1"/>
    <xf numFmtId="164" fontId="2" fillId="32" borderId="72" xfId="192" applyNumberFormat="1" applyFont="1" applyFill="1" applyBorder="1" applyProtection="1"/>
    <xf numFmtId="4" fontId="2" fillId="32" borderId="41" xfId="174" applyNumberFormat="1" applyFont="1" applyFill="1" applyBorder="1" applyAlignment="1" applyProtection="1"/>
    <xf numFmtId="10" fontId="2" fillId="32" borderId="73" xfId="121" applyNumberFormat="1" applyFont="1" applyFill="1" applyBorder="1" applyAlignment="1" applyProtection="1">
      <alignment horizontal="right"/>
    </xf>
    <xf numFmtId="4" fontId="2" fillId="32" borderId="43" xfId="174" applyNumberFormat="1" applyFont="1" applyFill="1" applyBorder="1" applyAlignment="1" applyProtection="1"/>
    <xf numFmtId="4" fontId="2" fillId="32" borderId="72" xfId="174" applyNumberFormat="1" applyFont="1" applyFill="1" applyBorder="1" applyAlignment="1" applyProtection="1"/>
    <xf numFmtId="4" fontId="5" fillId="32" borderId="41" xfId="192" applyNumberFormat="1" applyFont="1" applyFill="1" applyBorder="1" applyAlignment="1" applyProtection="1">
      <alignment horizontal="right"/>
    </xf>
    <xf numFmtId="10" fontId="5" fillId="32" borderId="73" xfId="121" applyNumberFormat="1" applyFont="1" applyFill="1" applyBorder="1" applyAlignment="1" applyProtection="1">
      <alignment horizontal="right"/>
    </xf>
    <xf numFmtId="4" fontId="5" fillId="32" borderId="43" xfId="192" applyNumberFormat="1" applyFont="1" applyFill="1" applyBorder="1" applyAlignment="1" applyProtection="1">
      <alignment horizontal="right"/>
    </xf>
    <xf numFmtId="4" fontId="5" fillId="32" borderId="72" xfId="192" applyNumberFormat="1" applyFont="1" applyFill="1" applyBorder="1" applyAlignment="1" applyProtection="1">
      <alignment horizontal="right"/>
    </xf>
    <xf numFmtId="4" fontId="2" fillId="32" borderId="41" xfId="174" applyNumberFormat="1" applyFont="1" applyFill="1" applyBorder="1" applyAlignment="1" applyProtection="1">
      <alignment horizontal="right"/>
    </xf>
    <xf numFmtId="4" fontId="2" fillId="32" borderId="43" xfId="174" applyNumberFormat="1" applyFont="1" applyFill="1" applyBorder="1" applyAlignment="1" applyProtection="1">
      <alignment horizontal="right"/>
    </xf>
    <xf numFmtId="4" fontId="2" fillId="32" borderId="72" xfId="174" applyNumberFormat="1" applyFont="1" applyFill="1" applyBorder="1" applyAlignment="1" applyProtection="1">
      <alignment horizontal="right"/>
    </xf>
    <xf numFmtId="0" fontId="56" fillId="29" borderId="0" xfId="174" applyFont="1" applyFill="1" applyProtection="1"/>
    <xf numFmtId="4" fontId="56" fillId="32" borderId="41" xfId="174" applyNumberFormat="1" applyFont="1" applyFill="1" applyBorder="1" applyAlignment="1" applyProtection="1">
      <alignment horizontal="right"/>
    </xf>
    <xf numFmtId="10" fontId="56" fillId="32" borderId="73" xfId="121" applyNumberFormat="1" applyFont="1" applyFill="1" applyBorder="1" applyAlignment="1" applyProtection="1">
      <alignment horizontal="right"/>
    </xf>
    <xf numFmtId="4" fontId="56" fillId="32" borderId="43" xfId="174" applyNumberFormat="1" applyFont="1" applyFill="1" applyBorder="1" applyAlignment="1" applyProtection="1">
      <alignment horizontal="right"/>
    </xf>
    <xf numFmtId="4" fontId="56" fillId="32" borderId="72" xfId="174" applyNumberFormat="1" applyFont="1" applyFill="1" applyBorder="1" applyAlignment="1" applyProtection="1">
      <alignment horizontal="right"/>
    </xf>
    <xf numFmtId="164" fontId="6" fillId="31" borderId="41" xfId="192" applyNumberFormat="1" applyFont="1" applyFill="1" applyBorder="1" applyProtection="1"/>
    <xf numFmtId="164" fontId="6" fillId="32" borderId="43" xfId="192" applyNumberFormat="1" applyFont="1" applyFill="1" applyBorder="1" applyProtection="1"/>
    <xf numFmtId="164" fontId="6" fillId="32" borderId="72" xfId="192" applyNumberFormat="1" applyFont="1" applyFill="1" applyBorder="1" applyProtection="1"/>
    <xf numFmtId="164" fontId="2" fillId="32" borderId="41" xfId="192" applyNumberFormat="1" applyFont="1" applyFill="1" applyBorder="1" applyProtection="1"/>
    <xf numFmtId="10" fontId="2" fillId="32" borderId="73" xfId="121" applyNumberFormat="1" applyFont="1" applyFill="1" applyBorder="1" applyProtection="1"/>
    <xf numFmtId="164" fontId="6" fillId="31" borderId="41" xfId="192" applyNumberFormat="1" applyFont="1" applyFill="1" applyBorder="1" applyAlignment="1" applyProtection="1">
      <alignment vertical="center"/>
    </xf>
    <xf numFmtId="164" fontId="6" fillId="32" borderId="43" xfId="192" applyNumberFormat="1" applyFont="1" applyFill="1" applyBorder="1" applyAlignment="1" applyProtection="1">
      <alignment vertical="center"/>
    </xf>
    <xf numFmtId="164" fontId="6" fillId="32" borderId="72" xfId="192" applyNumberFormat="1" applyFont="1" applyFill="1" applyBorder="1" applyAlignment="1" applyProtection="1">
      <alignment vertical="center"/>
    </xf>
    <xf numFmtId="164" fontId="2" fillId="32" borderId="41" xfId="192" applyNumberFormat="1" applyFont="1" applyFill="1" applyBorder="1" applyAlignment="1" applyProtection="1">
      <alignment vertical="center"/>
    </xf>
    <xf numFmtId="164" fontId="2" fillId="32" borderId="43" xfId="192" applyNumberFormat="1" applyFont="1" applyFill="1" applyBorder="1" applyAlignment="1" applyProtection="1">
      <alignment vertical="center"/>
    </xf>
    <xf numFmtId="164" fontId="2" fillId="32" borderId="72" xfId="192" applyNumberFormat="1" applyFont="1" applyFill="1" applyBorder="1" applyAlignment="1" applyProtection="1">
      <alignment vertical="center"/>
    </xf>
    <xf numFmtId="0" fontId="2" fillId="29" borderId="0" xfId="174" applyFont="1" applyFill="1" applyAlignment="1" applyProtection="1">
      <alignment vertical="top"/>
    </xf>
    <xf numFmtId="4" fontId="5" fillId="32" borderId="44" xfId="192" applyNumberFormat="1" applyFont="1" applyFill="1" applyBorder="1" applyAlignment="1" applyProtection="1">
      <alignment horizontal="right" vertical="top"/>
    </xf>
    <xf numFmtId="10" fontId="5" fillId="32" borderId="74" xfId="121" applyNumberFormat="1" applyFont="1" applyFill="1" applyBorder="1" applyAlignment="1" applyProtection="1">
      <alignment horizontal="right" vertical="top"/>
    </xf>
    <xf numFmtId="4" fontId="5" fillId="32" borderId="46" xfId="192" applyNumberFormat="1" applyFont="1" applyFill="1" applyBorder="1" applyAlignment="1" applyProtection="1">
      <alignment horizontal="right" vertical="top"/>
    </xf>
    <xf numFmtId="4" fontId="5" fillId="32" borderId="75" xfId="192" applyNumberFormat="1" applyFont="1" applyFill="1" applyBorder="1" applyAlignment="1" applyProtection="1">
      <alignment horizontal="right" vertical="top"/>
    </xf>
    <xf numFmtId="4" fontId="5" fillId="32" borderId="44" xfId="192" applyNumberFormat="1" applyFont="1" applyFill="1" applyBorder="1" applyAlignment="1" applyProtection="1">
      <alignment horizontal="right"/>
    </xf>
    <xf numFmtId="10" fontId="5" fillId="32" borderId="74" xfId="126" applyNumberFormat="1" applyFont="1" applyFill="1" applyBorder="1" applyAlignment="1" applyProtection="1">
      <alignment horizontal="right"/>
    </xf>
    <xf numFmtId="4" fontId="5" fillId="32" borderId="46" xfId="192" applyNumberFormat="1" applyFont="1" applyFill="1" applyBorder="1" applyAlignment="1" applyProtection="1">
      <alignment horizontal="right"/>
    </xf>
    <xf numFmtId="4" fontId="5" fillId="32" borderId="75" xfId="192" applyNumberFormat="1" applyFont="1" applyFill="1" applyBorder="1" applyAlignment="1" applyProtection="1">
      <alignment horizontal="right"/>
    </xf>
    <xf numFmtId="164" fontId="6" fillId="32" borderId="34" xfId="174" applyNumberFormat="1" applyFont="1" applyFill="1" applyBorder="1" applyAlignment="1" applyProtection="1">
      <alignment horizontal="right"/>
    </xf>
    <xf numFmtId="10" fontId="6" fillId="32" borderId="38" xfId="126" applyNumberFormat="1" applyFont="1" applyFill="1" applyBorder="1" applyAlignment="1" applyProtection="1">
      <alignment horizontal="right"/>
    </xf>
    <xf numFmtId="164" fontId="6" fillId="32" borderId="39" xfId="174" applyNumberFormat="1" applyFont="1" applyFill="1" applyBorder="1" applyAlignment="1" applyProtection="1">
      <alignment horizontal="right"/>
    </xf>
    <xf numFmtId="0" fontId="22" fillId="29" borderId="0" xfId="174" applyFont="1" applyFill="1" applyProtection="1"/>
    <xf numFmtId="164" fontId="6" fillId="32" borderId="25" xfId="174" applyNumberFormat="1" applyFont="1" applyFill="1" applyBorder="1" applyAlignment="1" applyProtection="1">
      <alignment horizontal="right"/>
    </xf>
    <xf numFmtId="0" fontId="71" fillId="32" borderId="0" xfId="174" applyFont="1" applyFill="1" applyProtection="1"/>
    <xf numFmtId="0" fontId="68" fillId="0" borderId="0" xfId="174" applyFont="1" applyFill="1" applyProtection="1"/>
    <xf numFmtId="0" fontId="72" fillId="0" borderId="0" xfId="174" applyFont="1" applyFill="1" applyBorder="1" applyAlignment="1" applyProtection="1"/>
    <xf numFmtId="0" fontId="72" fillId="0" borderId="0" xfId="174" applyFont="1" applyFill="1" applyProtection="1"/>
    <xf numFmtId="0" fontId="73" fillId="32" borderId="0" xfId="174" applyFont="1" applyFill="1" applyProtection="1"/>
    <xf numFmtId="0" fontId="68" fillId="32" borderId="0" xfId="184" applyFont="1" applyFill="1" applyProtection="1"/>
    <xf numFmtId="0" fontId="72" fillId="32" borderId="0" xfId="184" applyFont="1" applyFill="1" applyProtection="1"/>
    <xf numFmtId="0" fontId="6" fillId="32" borderId="76" xfId="184" applyFont="1" applyFill="1" applyBorder="1" applyAlignment="1" applyProtection="1">
      <alignment horizontal="right"/>
    </xf>
    <xf numFmtId="0" fontId="6" fillId="32" borderId="71" xfId="184" applyFont="1" applyFill="1" applyBorder="1" applyAlignment="1" applyProtection="1">
      <alignment horizontal="right"/>
    </xf>
    <xf numFmtId="0" fontId="6" fillId="32" borderId="41" xfId="184" applyFont="1" applyFill="1" applyBorder="1" applyAlignment="1" applyProtection="1">
      <alignment horizontal="right"/>
    </xf>
    <xf numFmtId="0" fontId="6" fillId="32" borderId="72" xfId="184" applyFont="1" applyFill="1" applyBorder="1" applyAlignment="1" applyProtection="1">
      <alignment horizontal="right"/>
    </xf>
    <xf numFmtId="0" fontId="20" fillId="32" borderId="72" xfId="184" applyFont="1" applyFill="1" applyBorder="1" applyAlignment="1" applyProtection="1">
      <alignment horizontal="right"/>
    </xf>
    <xf numFmtId="0" fontId="20" fillId="32" borderId="41" xfId="184" applyFont="1" applyFill="1" applyBorder="1" applyAlignment="1" applyProtection="1">
      <alignment horizontal="right"/>
    </xf>
    <xf numFmtId="10" fontId="6" fillId="32" borderId="72" xfId="121" applyNumberFormat="1" applyFont="1" applyFill="1" applyBorder="1" applyProtection="1"/>
    <xf numFmtId="166" fontId="6" fillId="32" borderId="72" xfId="192" applyNumberFormat="1" applyFont="1" applyFill="1" applyBorder="1" applyProtection="1"/>
    <xf numFmtId="3" fontId="20" fillId="32" borderId="41" xfId="192" applyNumberFormat="1" applyFont="1" applyFill="1" applyBorder="1" applyAlignment="1" applyProtection="1">
      <alignment horizontal="left" indent="2"/>
    </xf>
    <xf numFmtId="10" fontId="20" fillId="32" borderId="72" xfId="121" applyNumberFormat="1" applyFont="1" applyFill="1" applyBorder="1" applyAlignment="1" applyProtection="1">
      <alignment horizontal="left" indent="2"/>
    </xf>
    <xf numFmtId="3" fontId="20" fillId="32" borderId="72" xfId="192" applyNumberFormat="1" applyFont="1" applyFill="1" applyBorder="1" applyAlignment="1" applyProtection="1">
      <alignment horizontal="left" indent="2"/>
    </xf>
    <xf numFmtId="10" fontId="6" fillId="32" borderId="72" xfId="121" applyNumberFormat="1" applyFont="1" applyFill="1" applyBorder="1" applyAlignment="1" applyProtection="1">
      <alignment horizontal="right"/>
    </xf>
    <xf numFmtId="166" fontId="6" fillId="32" borderId="72" xfId="192" applyNumberFormat="1" applyFont="1" applyFill="1" applyBorder="1" applyAlignment="1" applyProtection="1">
      <alignment vertical="center"/>
    </xf>
    <xf numFmtId="0" fontId="22" fillId="32" borderId="57" xfId="184" applyFont="1" applyFill="1" applyBorder="1" applyAlignment="1" applyProtection="1">
      <alignment horizontal="right"/>
    </xf>
    <xf numFmtId="0" fontId="22" fillId="32" borderId="77" xfId="184" applyFont="1" applyFill="1" applyBorder="1" applyAlignment="1" applyProtection="1">
      <alignment horizontal="right"/>
    </xf>
    <xf numFmtId="164" fontId="6" fillId="29" borderId="25" xfId="174" applyNumberFormat="1" applyFont="1" applyFill="1" applyBorder="1" applyAlignment="1" applyProtection="1"/>
    <xf numFmtId="0" fontId="70" fillId="32" borderId="0" xfId="184" applyFont="1" applyFill="1" applyProtection="1"/>
    <xf numFmtId="164" fontId="6" fillId="32" borderId="78" xfId="171" applyNumberFormat="1" applyFont="1" applyFill="1" applyBorder="1" applyAlignment="1" applyProtection="1">
      <alignment vertical="center"/>
    </xf>
    <xf numFmtId="10" fontId="6" fillId="29" borderId="79" xfId="121" applyNumberFormat="1" applyFont="1" applyFill="1" applyBorder="1" applyAlignment="1" applyProtection="1">
      <alignment vertical="center"/>
    </xf>
    <xf numFmtId="164" fontId="6" fillId="32" borderId="56" xfId="171" applyNumberFormat="1" applyFont="1" applyFill="1" applyBorder="1" applyAlignment="1" applyProtection="1">
      <alignment vertical="center"/>
    </xf>
    <xf numFmtId="0" fontId="2" fillId="32" borderId="78" xfId="171" applyFont="1" applyFill="1" applyBorder="1" applyAlignment="1" applyProtection="1">
      <alignment vertical="center"/>
    </xf>
    <xf numFmtId="10" fontId="2" fillId="32" borderId="80" xfId="121" applyNumberFormat="1" applyFont="1" applyFill="1" applyBorder="1" applyAlignment="1" applyProtection="1">
      <alignment horizontal="right" vertical="center"/>
    </xf>
    <xf numFmtId="164" fontId="2" fillId="32" borderId="56" xfId="171" applyNumberFormat="1" applyFont="1" applyFill="1" applyBorder="1" applyAlignment="1" applyProtection="1">
      <alignment vertical="center"/>
    </xf>
    <xf numFmtId="164" fontId="2" fillId="29" borderId="56" xfId="171" applyNumberFormat="1" applyFont="1" applyFill="1" applyBorder="1" applyAlignment="1" applyProtection="1">
      <alignment vertical="center"/>
    </xf>
    <xf numFmtId="3" fontId="5" fillId="32" borderId="13" xfId="192" applyNumberFormat="1" applyFont="1" applyFill="1" applyBorder="1" applyAlignment="1" applyProtection="1">
      <alignment horizontal="right" vertical="center"/>
    </xf>
    <xf numFmtId="10" fontId="5" fillId="32" borderId="36" xfId="121" applyNumberFormat="1" applyFont="1" applyFill="1" applyBorder="1" applyAlignment="1" applyProtection="1">
      <alignment horizontal="right" vertical="center"/>
    </xf>
    <xf numFmtId="164" fontId="6" fillId="32" borderId="60" xfId="192" applyNumberFormat="1" applyFont="1" applyFill="1" applyBorder="1" applyAlignment="1" applyProtection="1">
      <alignment horizontal="right" vertical="center"/>
    </xf>
    <xf numFmtId="10" fontId="6" fillId="32" borderId="47" xfId="126" applyNumberFormat="1" applyFont="1" applyFill="1" applyBorder="1" applyAlignment="1" applyProtection="1">
      <alignment horizontal="right" vertical="center"/>
    </xf>
    <xf numFmtId="164" fontId="6" fillId="32" borderId="81" xfId="192" applyNumberFormat="1" applyFont="1" applyFill="1" applyBorder="1" applyAlignment="1" applyProtection="1">
      <alignment horizontal="right" vertical="center"/>
    </xf>
    <xf numFmtId="164" fontId="6" fillId="32" borderId="82" xfId="171" applyNumberFormat="1" applyFont="1" applyFill="1" applyBorder="1" applyAlignment="1" applyProtection="1">
      <alignment vertical="center"/>
    </xf>
    <xf numFmtId="0" fontId="2" fillId="32" borderId="82" xfId="171" applyFont="1" applyFill="1" applyBorder="1" applyAlignment="1" applyProtection="1">
      <alignment vertical="center"/>
    </xf>
    <xf numFmtId="164" fontId="2" fillId="32" borderId="82" xfId="171" applyNumberFormat="1" applyFont="1" applyFill="1" applyBorder="1" applyAlignment="1" applyProtection="1">
      <alignment vertical="center"/>
    </xf>
    <xf numFmtId="3" fontId="5" fillId="32" borderId="82" xfId="192" applyNumberFormat="1" applyFont="1" applyFill="1" applyBorder="1" applyAlignment="1" applyProtection="1">
      <alignment horizontal="right" vertical="center"/>
    </xf>
    <xf numFmtId="0" fontId="2" fillId="32" borderId="82" xfId="171" applyFont="1" applyFill="1" applyBorder="1" applyAlignment="1" applyProtection="1">
      <alignment horizontal="right" vertical="center"/>
    </xf>
    <xf numFmtId="164" fontId="2" fillId="29" borderId="82" xfId="171" applyNumberFormat="1" applyFont="1" applyFill="1" applyBorder="1" applyAlignment="1" applyProtection="1">
      <alignment vertical="center"/>
    </xf>
    <xf numFmtId="3" fontId="5" fillId="32" borderId="83" xfId="192" applyNumberFormat="1" applyFont="1" applyFill="1" applyBorder="1" applyAlignment="1" applyProtection="1">
      <alignment horizontal="right" vertical="center"/>
    </xf>
    <xf numFmtId="164" fontId="6" fillId="32" borderId="25" xfId="192" applyNumberFormat="1" applyFont="1" applyFill="1" applyBorder="1" applyAlignment="1" applyProtection="1">
      <alignment horizontal="right" vertical="center"/>
    </xf>
    <xf numFmtId="0" fontId="68" fillId="32" borderId="0" xfId="171" applyFont="1" applyFill="1" applyProtection="1"/>
    <xf numFmtId="0" fontId="2" fillId="29" borderId="50" xfId="174" applyFont="1" applyFill="1" applyBorder="1" applyProtection="1"/>
    <xf numFmtId="164" fontId="5" fillId="31" borderId="27" xfId="192" applyNumberFormat="1" applyFont="1" applyFill="1" applyBorder="1" applyAlignment="1" applyProtection="1">
      <alignment horizontal="right" vertical="top"/>
    </xf>
    <xf numFmtId="164" fontId="2" fillId="29" borderId="40" xfId="174" applyNumberFormat="1" applyFont="1" applyFill="1" applyBorder="1" applyAlignment="1" applyProtection="1">
      <alignment vertical="top"/>
    </xf>
    <xf numFmtId="0" fontId="2" fillId="29" borderId="40" xfId="174" applyFont="1" applyFill="1" applyBorder="1" applyProtection="1"/>
    <xf numFmtId="0" fontId="2" fillId="29" borderId="63" xfId="174" applyFont="1" applyFill="1" applyBorder="1" applyProtection="1"/>
    <xf numFmtId="0" fontId="2" fillId="29" borderId="65" xfId="174" applyFont="1" applyFill="1" applyBorder="1" applyProtection="1"/>
    <xf numFmtId="0" fontId="2" fillId="29" borderId="52" xfId="174" applyFont="1" applyFill="1" applyBorder="1" applyProtection="1"/>
    <xf numFmtId="0" fontId="72" fillId="32" borderId="0" xfId="0" applyFont="1" applyFill="1" applyBorder="1" applyAlignment="1" applyProtection="1"/>
    <xf numFmtId="0" fontId="71" fillId="0" borderId="0" xfId="174" applyFont="1" applyFill="1" applyProtection="1"/>
    <xf numFmtId="0" fontId="68" fillId="0" borderId="0" xfId="174" applyFont="1" applyProtection="1"/>
    <xf numFmtId="0" fontId="73" fillId="0" borderId="0" xfId="174" applyFont="1" applyFill="1" applyProtection="1"/>
    <xf numFmtId="0" fontId="74" fillId="32" borderId="0" xfId="171" applyFont="1" applyFill="1" applyProtection="1"/>
    <xf numFmtId="0" fontId="75" fillId="32" borderId="0" xfId="0" applyFont="1" applyFill="1" applyProtection="1"/>
    <xf numFmtId="0" fontId="75" fillId="32" borderId="11" xfId="0" applyFont="1" applyFill="1" applyBorder="1" applyAlignment="1" applyProtection="1">
      <alignment vertical="top"/>
    </xf>
    <xf numFmtId="0" fontId="76" fillId="32" borderId="32" xfId="0" applyFont="1" applyFill="1" applyBorder="1" applyAlignment="1" applyProtection="1">
      <alignment horizontal="left" vertical="top"/>
    </xf>
    <xf numFmtId="0" fontId="75" fillId="32" borderId="32" xfId="0" applyFont="1" applyFill="1" applyBorder="1" applyAlignment="1" applyProtection="1">
      <alignment vertical="top"/>
    </xf>
    <xf numFmtId="0" fontId="76" fillId="32" borderId="32" xfId="0" applyFont="1" applyFill="1" applyBorder="1" applyAlignment="1" applyProtection="1">
      <alignment horizontal="center" vertical="top" wrapText="1"/>
    </xf>
    <xf numFmtId="0" fontId="76" fillId="32" borderId="0" xfId="0" applyFont="1" applyFill="1" applyBorder="1" applyAlignment="1" applyProtection="1">
      <alignment horizontal="center" vertical="top" wrapText="1"/>
    </xf>
    <xf numFmtId="0" fontId="75" fillId="32" borderId="0" xfId="0" applyFont="1" applyFill="1" applyBorder="1" applyAlignment="1" applyProtection="1">
      <alignment vertical="top"/>
    </xf>
    <xf numFmtId="0" fontId="2" fillId="32" borderId="0" xfId="171" applyFont="1" applyFill="1" applyAlignment="1" applyProtection="1"/>
    <xf numFmtId="164" fontId="2" fillId="32" borderId="11" xfId="192" applyNumberFormat="1" applyFont="1" applyFill="1" applyBorder="1" applyAlignment="1" applyProtection="1">
      <alignment vertical="top"/>
      <protection locked="0"/>
    </xf>
    <xf numFmtId="0" fontId="6" fillId="32" borderId="25" xfId="0" applyFont="1" applyFill="1" applyBorder="1" applyProtection="1"/>
    <xf numFmtId="0" fontId="6" fillId="37" borderId="25" xfId="0" applyFont="1" applyFill="1" applyBorder="1" applyProtection="1"/>
    <xf numFmtId="0" fontId="6" fillId="37" borderId="39" xfId="0" applyFont="1" applyFill="1" applyBorder="1" applyAlignment="1" applyProtection="1"/>
    <xf numFmtId="0" fontId="0" fillId="32" borderId="0" xfId="0" applyFont="1" applyFill="1" applyProtection="1"/>
    <xf numFmtId="3" fontId="2" fillId="32" borderId="11" xfId="192" applyNumberFormat="1" applyFont="1" applyFill="1" applyBorder="1" applyAlignment="1" applyProtection="1">
      <alignment vertical="top"/>
      <protection locked="0"/>
    </xf>
    <xf numFmtId="0" fontId="0" fillId="32" borderId="0" xfId="0" applyFill="1" applyAlignment="1" applyProtection="1">
      <alignment horizontal="center" vertical="center"/>
    </xf>
    <xf numFmtId="164" fontId="5" fillId="31" borderId="13" xfId="192" applyNumberFormat="1" applyFont="1" applyFill="1" applyBorder="1" applyAlignment="1" applyProtection="1">
      <alignment horizontal="right" vertical="center"/>
      <protection locked="0"/>
    </xf>
    <xf numFmtId="164" fontId="2" fillId="0" borderId="40" xfId="174" applyNumberFormat="1" applyFont="1" applyBorder="1" applyAlignment="1" applyProtection="1">
      <alignment vertical="center"/>
    </xf>
    <xf numFmtId="164" fontId="5" fillId="31" borderId="27" xfId="192" applyNumberFormat="1" applyFont="1" applyFill="1" applyBorder="1" applyAlignment="1" applyProtection="1">
      <alignment horizontal="right" vertical="center"/>
    </xf>
    <xf numFmtId="164" fontId="2" fillId="29" borderId="40" xfId="174" applyNumberFormat="1" applyFont="1" applyFill="1" applyBorder="1" applyAlignment="1" applyProtection="1">
      <alignment vertical="center"/>
    </xf>
    <xf numFmtId="0" fontId="2" fillId="32" borderId="14" xfId="174" applyFont="1" applyFill="1" applyBorder="1" applyProtection="1"/>
    <xf numFmtId="0" fontId="2" fillId="0" borderId="84" xfId="174" applyFont="1" applyBorder="1" applyProtection="1"/>
    <xf numFmtId="164" fontId="5" fillId="31" borderId="36" xfId="192" applyNumberFormat="1" applyFont="1" applyFill="1" applyBorder="1" applyAlignment="1" applyProtection="1">
      <alignment horizontal="right" vertical="top"/>
      <protection locked="0"/>
    </xf>
    <xf numFmtId="0" fontId="5" fillId="0" borderId="36" xfId="174" applyFont="1" applyBorder="1" applyProtection="1"/>
    <xf numFmtId="0" fontId="5" fillId="0" borderId="35" xfId="174" applyFont="1" applyBorder="1" applyProtection="1"/>
    <xf numFmtId="0" fontId="5" fillId="0" borderId="85" xfId="174" applyFont="1" applyBorder="1" applyProtection="1"/>
    <xf numFmtId="164" fontId="5" fillId="31" borderId="36" xfId="192" applyNumberFormat="1" applyFont="1" applyFill="1" applyBorder="1" applyAlignment="1" applyProtection="1">
      <alignment horizontal="right" vertical="center"/>
      <protection locked="0"/>
    </xf>
    <xf numFmtId="0" fontId="2" fillId="0" borderId="36" xfId="174" applyFont="1" applyBorder="1" applyProtection="1"/>
    <xf numFmtId="0" fontId="2" fillId="0" borderId="86" xfId="174" applyFont="1" applyBorder="1" applyProtection="1"/>
    <xf numFmtId="0" fontId="2" fillId="0" borderId="87" xfId="174" applyFont="1" applyBorder="1" applyProtection="1"/>
    <xf numFmtId="0" fontId="2" fillId="0" borderId="13" xfId="174" applyFont="1" applyBorder="1" applyProtection="1"/>
    <xf numFmtId="0" fontId="2" fillId="0" borderId="88" xfId="174" applyFont="1" applyBorder="1" applyProtection="1"/>
    <xf numFmtId="0" fontId="2" fillId="29" borderId="84" xfId="174" applyFont="1" applyFill="1" applyBorder="1" applyProtection="1"/>
    <xf numFmtId="164" fontId="5" fillId="31" borderId="36" xfId="192" applyNumberFormat="1" applyFont="1" applyFill="1" applyBorder="1" applyAlignment="1" applyProtection="1">
      <alignment horizontal="right" vertical="top"/>
    </xf>
    <xf numFmtId="0" fontId="2" fillId="29" borderId="36" xfId="174" applyFont="1" applyFill="1" applyBorder="1" applyProtection="1"/>
    <xf numFmtId="0" fontId="2" fillId="29" borderId="35" xfId="174" applyFont="1" applyFill="1" applyBorder="1" applyProtection="1"/>
    <xf numFmtId="0" fontId="2" fillId="29" borderId="85" xfId="174" applyFont="1" applyFill="1" applyBorder="1" applyProtection="1"/>
    <xf numFmtId="164" fontId="5" fillId="31" borderId="36" xfId="192" applyNumberFormat="1" applyFont="1" applyFill="1" applyBorder="1" applyAlignment="1" applyProtection="1">
      <alignment horizontal="right" vertical="center"/>
    </xf>
    <xf numFmtId="0" fontId="2" fillId="29" borderId="86" xfId="174" applyFont="1" applyFill="1" applyBorder="1" applyProtection="1"/>
    <xf numFmtId="0" fontId="2" fillId="29" borderId="87" xfId="174" applyFont="1" applyFill="1" applyBorder="1" applyProtection="1"/>
    <xf numFmtId="0" fontId="2" fillId="29" borderId="13" xfId="174" applyFont="1" applyFill="1" applyBorder="1" applyProtection="1"/>
    <xf numFmtId="0" fontId="2" fillId="29" borderId="62" xfId="174" applyFont="1" applyFill="1" applyBorder="1" applyProtection="1"/>
    <xf numFmtId="0" fontId="2" fillId="29" borderId="64" xfId="174" applyFont="1" applyFill="1" applyBorder="1" applyProtection="1"/>
    <xf numFmtId="0" fontId="2" fillId="29" borderId="88" xfId="174" applyFont="1" applyFill="1" applyBorder="1" applyProtection="1"/>
    <xf numFmtId="0" fontId="77" fillId="0" borderId="0" xfId="0" applyFont="1"/>
    <xf numFmtId="0" fontId="55" fillId="29" borderId="11" xfId="13" applyFont="1" applyFill="1" applyBorder="1" applyAlignment="1" applyProtection="1">
      <alignment horizontal="center" vertical="center"/>
    </xf>
    <xf numFmtId="0" fontId="19" fillId="0" borderId="0" xfId="13" applyAlignment="1" applyProtection="1">
      <alignment horizontal="center" vertical="center"/>
    </xf>
    <xf numFmtId="0" fontId="2" fillId="32" borderId="11" xfId="192" applyNumberFormat="1" applyFont="1" applyFill="1" applyBorder="1" applyAlignment="1" applyProtection="1">
      <alignment horizontal="center" vertical="top"/>
    </xf>
    <xf numFmtId="0" fontId="0" fillId="32" borderId="11" xfId="0" applyFont="1" applyFill="1" applyBorder="1" applyAlignment="1" applyProtection="1">
      <alignment horizontal="center" vertical="top" wrapText="1"/>
    </xf>
    <xf numFmtId="164" fontId="6" fillId="32" borderId="41" xfId="192" applyNumberFormat="1" applyFont="1" applyFill="1" applyBorder="1" applyProtection="1"/>
    <xf numFmtId="0" fontId="54" fillId="32" borderId="34" xfId="174" applyFont="1" applyFill="1" applyBorder="1" applyProtection="1"/>
    <xf numFmtId="0" fontId="6" fillId="32" borderId="47" xfId="174" applyFont="1" applyFill="1" applyBorder="1" applyProtection="1"/>
    <xf numFmtId="10" fontId="2" fillId="31" borderId="73" xfId="121" applyNumberFormat="1" applyFont="1" applyFill="1" applyBorder="1" applyProtection="1"/>
    <xf numFmtId="10" fontId="6" fillId="31" borderId="73" xfId="121" applyNumberFormat="1" applyFont="1" applyFill="1" applyBorder="1" applyProtection="1"/>
    <xf numFmtId="10" fontId="6" fillId="31" borderId="41" xfId="192" applyNumberFormat="1" applyFont="1" applyFill="1" applyBorder="1" applyProtection="1"/>
    <xf numFmtId="164" fontId="2" fillId="31" borderId="41" xfId="192" applyNumberFormat="1" applyFont="1" applyFill="1" applyBorder="1" applyAlignment="1" applyProtection="1">
      <alignment vertical="center"/>
    </xf>
    <xf numFmtId="3" fontId="5" fillId="32" borderId="53" xfId="192" applyNumberFormat="1" applyFont="1" applyFill="1" applyBorder="1" applyAlignment="1" applyProtection="1">
      <alignment horizontal="right" vertical="center"/>
    </xf>
    <xf numFmtId="0" fontId="2" fillId="32" borderId="53" xfId="171" applyFont="1" applyFill="1" applyBorder="1" applyAlignment="1" applyProtection="1">
      <alignment horizontal="right" vertical="center"/>
    </xf>
    <xf numFmtId="0" fontId="2" fillId="32" borderId="41" xfId="171" applyFont="1" applyFill="1" applyBorder="1" applyAlignment="1" applyProtection="1">
      <alignment horizontal="right" vertical="center"/>
    </xf>
    <xf numFmtId="164" fontId="2" fillId="29" borderId="41" xfId="192" applyNumberFormat="1" applyFont="1" applyFill="1" applyBorder="1" applyAlignment="1" applyProtection="1">
      <alignment vertical="center"/>
    </xf>
    <xf numFmtId="10" fontId="2" fillId="31" borderId="73" xfId="192" applyNumberFormat="1" applyFont="1" applyFill="1" applyBorder="1" applyAlignment="1" applyProtection="1">
      <alignment vertical="center"/>
    </xf>
    <xf numFmtId="10" fontId="5" fillId="32" borderId="89" xfId="121" applyNumberFormat="1" applyFont="1" applyFill="1" applyBorder="1" applyAlignment="1" applyProtection="1">
      <alignment horizontal="right" vertical="center"/>
    </xf>
    <xf numFmtId="10" fontId="2" fillId="32" borderId="89" xfId="121" applyNumberFormat="1" applyFont="1" applyFill="1" applyBorder="1" applyAlignment="1" applyProtection="1">
      <alignment horizontal="right" vertical="center"/>
    </xf>
    <xf numFmtId="10" fontId="2" fillId="29" borderId="89" xfId="121" applyNumberFormat="1" applyFont="1" applyFill="1" applyBorder="1" applyAlignment="1" applyProtection="1">
      <alignment horizontal="right" vertical="center"/>
    </xf>
    <xf numFmtId="10" fontId="6" fillId="31" borderId="73" xfId="192" applyNumberFormat="1" applyFont="1" applyFill="1" applyBorder="1" applyAlignment="1" applyProtection="1">
      <alignment vertical="center"/>
    </xf>
    <xf numFmtId="164" fontId="6" fillId="38" borderId="41" xfId="192" applyNumberFormat="1" applyFont="1" applyFill="1" applyBorder="1" applyProtection="1"/>
    <xf numFmtId="10" fontId="6" fillId="38" borderId="73" xfId="121" applyNumberFormat="1" applyFont="1" applyFill="1" applyBorder="1" applyProtection="1"/>
    <xf numFmtId="164" fontId="6" fillId="35" borderId="43" xfId="192" applyNumberFormat="1" applyFont="1" applyFill="1" applyBorder="1" applyProtection="1"/>
    <xf numFmtId="164" fontId="6" fillId="35" borderId="72" xfId="192" applyNumberFormat="1" applyFont="1" applyFill="1" applyBorder="1" applyProtection="1"/>
    <xf numFmtId="164" fontId="5" fillId="32" borderId="11" xfId="0" quotePrefix="1" applyNumberFormat="1" applyFont="1" applyFill="1" applyBorder="1" applyAlignment="1" applyProtection="1">
      <alignment vertical="top"/>
    </xf>
    <xf numFmtId="164" fontId="2" fillId="32" borderId="11" xfId="192" applyNumberFormat="1" applyFont="1" applyFill="1" applyBorder="1" applyAlignment="1" applyProtection="1">
      <alignment vertical="top"/>
    </xf>
    <xf numFmtId="1" fontId="2" fillId="0" borderId="26" xfId="30" applyNumberFormat="1" applyBorder="1" applyAlignment="1" applyProtection="1">
      <alignment horizontal="center"/>
    </xf>
    <xf numFmtId="4" fontId="2" fillId="31" borderId="25" xfId="192" applyNumberFormat="1" applyFont="1" applyFill="1" applyBorder="1" applyProtection="1"/>
    <xf numFmtId="0" fontId="6" fillId="32" borderId="39" xfId="30" applyFont="1" applyFill="1" applyBorder="1" applyAlignment="1" applyProtection="1">
      <alignment horizontal="center"/>
    </xf>
    <xf numFmtId="4" fontId="2" fillId="36" borderId="26" xfId="192" applyNumberFormat="1" applyFont="1" applyFill="1" applyBorder="1" applyProtection="1"/>
    <xf numFmtId="0" fontId="6" fillId="32" borderId="60" xfId="30" applyFont="1" applyFill="1" applyBorder="1" applyAlignment="1" applyProtection="1">
      <alignment horizontal="center"/>
    </xf>
    <xf numFmtId="0" fontId="6" fillId="32" borderId="90" xfId="30" applyFont="1" applyFill="1" applyBorder="1" applyAlignment="1" applyProtection="1">
      <alignment horizontal="center"/>
    </xf>
    <xf numFmtId="1" fontId="2" fillId="32" borderId="11" xfId="30" applyNumberFormat="1" applyFill="1" applyBorder="1" applyAlignment="1" applyProtection="1">
      <alignment horizontal="center"/>
    </xf>
    <xf numFmtId="0" fontId="6" fillId="32" borderId="11" xfId="0" applyFont="1" applyFill="1" applyBorder="1" applyAlignment="1" applyProtection="1">
      <alignment horizontal="center" vertical="center" wrapText="1"/>
    </xf>
    <xf numFmtId="0" fontId="6" fillId="32" borderId="11" xfId="0" applyFont="1" applyFill="1" applyBorder="1" applyAlignment="1" applyProtection="1">
      <alignment horizontal="left" vertical="top" wrapText="1"/>
    </xf>
    <xf numFmtId="4" fontId="2" fillId="31" borderId="11" xfId="192" applyNumberFormat="1" applyFont="1" applyFill="1" applyBorder="1" applyAlignment="1" applyProtection="1">
      <alignment vertical="top"/>
      <protection locked="0"/>
    </xf>
    <xf numFmtId="4" fontId="0" fillId="32" borderId="0" xfId="0" applyNumberFormat="1" applyFill="1" applyAlignment="1" applyProtection="1">
      <alignment vertical="top"/>
    </xf>
    <xf numFmtId="4" fontId="6" fillId="32" borderId="11" xfId="192" applyNumberFormat="1" applyFont="1" applyFill="1" applyBorder="1" applyAlignment="1" applyProtection="1">
      <alignment vertical="top"/>
      <protection locked="0"/>
    </xf>
    <xf numFmtId="4" fontId="0" fillId="32" borderId="0" xfId="0" applyNumberFormat="1" applyFill="1" applyProtection="1"/>
    <xf numFmtId="0" fontId="6" fillId="32" borderId="11" xfId="0" applyFont="1" applyFill="1" applyBorder="1" applyAlignment="1" applyProtection="1">
      <alignment horizontal="left" vertical="top" wrapText="1"/>
    </xf>
    <xf numFmtId="0" fontId="0" fillId="32" borderId="0" xfId="0" applyFill="1" applyAlignment="1" applyProtection="1">
      <alignment horizontal="center" vertical="center"/>
    </xf>
    <xf numFmtId="164" fontId="2" fillId="32" borderId="11" xfId="192" applyNumberFormat="1" applyFont="1" applyFill="1" applyBorder="1" applyAlignment="1" applyProtection="1">
      <alignment vertical="top"/>
    </xf>
    <xf numFmtId="4" fontId="2" fillId="32" borderId="11" xfId="192" applyNumberFormat="1" applyFont="1" applyFill="1" applyBorder="1" applyAlignment="1" applyProtection="1">
      <alignment vertical="top"/>
      <protection locked="0"/>
    </xf>
    <xf numFmtId="0" fontId="0" fillId="32" borderId="0" xfId="0" applyFill="1" applyAlignment="1" applyProtection="1">
      <alignment vertical="center"/>
    </xf>
    <xf numFmtId="4" fontId="6" fillId="32" borderId="11" xfId="192" applyNumberFormat="1" applyFont="1" applyFill="1" applyBorder="1" applyAlignment="1" applyProtection="1">
      <alignment horizontal="center" vertical="center"/>
      <protection locked="0"/>
    </xf>
    <xf numFmtId="4" fontId="2" fillId="32" borderId="11" xfId="192" applyNumberFormat="1" applyFont="1" applyFill="1" applyBorder="1" applyAlignment="1" applyProtection="1">
      <alignment horizontal="right" vertical="top"/>
      <protection locked="0"/>
    </xf>
    <xf numFmtId="0" fontId="0" fillId="32" borderId="11" xfId="0" applyFill="1" applyBorder="1" applyAlignment="1" applyProtection="1">
      <alignment vertical="center"/>
    </xf>
    <xf numFmtId="4" fontId="2" fillId="31" borderId="11" xfId="192" applyNumberFormat="1" applyFont="1" applyFill="1" applyBorder="1" applyAlignment="1" applyProtection="1">
      <alignment vertical="center"/>
      <protection locked="0"/>
    </xf>
    <xf numFmtId="4" fontId="6" fillId="32" borderId="11" xfId="0" applyNumberFormat="1" applyFont="1" applyFill="1" applyBorder="1" applyAlignment="1" applyProtection="1">
      <alignment horizontal="right" vertical="center"/>
    </xf>
    <xf numFmtId="0" fontId="5" fillId="32" borderId="0" xfId="0" applyFont="1" applyFill="1" applyBorder="1" applyAlignment="1" applyProtection="1">
      <alignment vertical="top"/>
    </xf>
    <xf numFmtId="4" fontId="5" fillId="32" borderId="0" xfId="0" applyNumberFormat="1" applyFont="1" applyFill="1" applyBorder="1" applyAlignment="1" applyProtection="1">
      <alignment vertical="top"/>
    </xf>
    <xf numFmtId="4" fontId="5" fillId="32" borderId="0" xfId="0" applyNumberFormat="1" applyFont="1" applyFill="1" applyAlignment="1" applyProtection="1">
      <alignment vertical="top"/>
    </xf>
    <xf numFmtId="4" fontId="5" fillId="32" borderId="0" xfId="0" applyNumberFormat="1" applyFont="1" applyFill="1" applyProtection="1"/>
    <xf numFmtId="0" fontId="6" fillId="39" borderId="11" xfId="0" applyFont="1" applyFill="1" applyBorder="1" applyAlignment="1" applyProtection="1">
      <alignment vertical="center"/>
    </xf>
    <xf numFmtId="4" fontId="6" fillId="39" borderId="11" xfId="0" applyNumberFormat="1" applyFont="1" applyFill="1" applyBorder="1" applyAlignment="1" applyProtection="1">
      <alignment horizontal="center" vertical="center"/>
    </xf>
    <xf numFmtId="0" fontId="5" fillId="39" borderId="11" xfId="0" applyFont="1" applyFill="1" applyBorder="1" applyAlignment="1" applyProtection="1">
      <alignment vertical="top"/>
    </xf>
    <xf numFmtId="4" fontId="5" fillId="39" borderId="11" xfId="192" applyNumberFormat="1" applyFont="1" applyFill="1" applyBorder="1" applyAlignment="1" applyProtection="1">
      <alignment vertical="top"/>
      <protection locked="0"/>
    </xf>
    <xf numFmtId="0" fontId="6" fillId="39" borderId="11" xfId="0" applyFont="1" applyFill="1" applyBorder="1" applyAlignment="1" applyProtection="1">
      <alignment horizontal="center" vertical="center"/>
    </xf>
    <xf numFmtId="0" fontId="20" fillId="39" borderId="11" xfId="0" applyFont="1" applyFill="1" applyBorder="1" applyAlignment="1" applyProtection="1">
      <alignment vertical="center"/>
    </xf>
    <xf numFmtId="4" fontId="20" fillId="39" borderId="11" xfId="0" applyNumberFormat="1" applyFont="1" applyFill="1" applyBorder="1" applyAlignment="1" applyProtection="1">
      <alignment vertical="center"/>
    </xf>
    <xf numFmtId="0" fontId="5" fillId="32" borderId="11" xfId="0" applyFont="1" applyFill="1" applyBorder="1" applyAlignment="1" applyProtection="1">
      <alignment horizontal="left" vertical="center" wrapText="1" indent="2"/>
    </xf>
    <xf numFmtId="0" fontId="55" fillId="32" borderId="11" xfId="13" applyFont="1" applyFill="1" applyBorder="1" applyAlignment="1" applyProtection="1">
      <alignment horizontal="center" vertical="center"/>
    </xf>
    <xf numFmtId="0" fontId="0" fillId="32" borderId="0" xfId="0" applyFont="1" applyFill="1" applyAlignment="1" applyProtection="1">
      <alignment vertical="top" wrapText="1"/>
    </xf>
    <xf numFmtId="0" fontId="0" fillId="29" borderId="29" xfId="0" applyFont="1" applyFill="1" applyBorder="1" applyAlignment="1" applyProtection="1">
      <alignment vertical="top" wrapText="1"/>
    </xf>
    <xf numFmtId="0" fontId="0" fillId="32" borderId="30" xfId="0" applyFont="1" applyFill="1" applyBorder="1" applyAlignment="1" applyProtection="1">
      <alignment vertical="top" wrapText="1"/>
    </xf>
    <xf numFmtId="0" fontId="0" fillId="32" borderId="29" xfId="0" applyFont="1" applyFill="1" applyBorder="1" applyAlignment="1" applyProtection="1">
      <alignment vertical="top" wrapText="1"/>
    </xf>
    <xf numFmtId="0" fontId="0" fillId="32" borderId="33" xfId="0" applyFont="1" applyFill="1" applyBorder="1" applyAlignment="1" applyProtection="1">
      <alignment vertical="top" wrapText="1"/>
    </xf>
    <xf numFmtId="0" fontId="0" fillId="32" borderId="27" xfId="0" applyFont="1" applyFill="1" applyBorder="1" applyAlignment="1" applyProtection="1">
      <alignment vertical="top" wrapText="1"/>
    </xf>
    <xf numFmtId="0" fontId="0" fillId="32" borderId="0" xfId="0" applyFont="1" applyFill="1" applyAlignment="1" applyProtection="1">
      <alignment horizontal="center" vertical="top"/>
    </xf>
    <xf numFmtId="0" fontId="0" fillId="32" borderId="27" xfId="0" applyFont="1" applyFill="1" applyBorder="1" applyAlignment="1" applyProtection="1">
      <alignment horizontal="center" vertical="top"/>
    </xf>
    <xf numFmtId="0" fontId="0" fillId="32" borderId="28" xfId="0" applyFont="1" applyFill="1" applyBorder="1" applyAlignment="1" applyProtection="1">
      <alignment vertical="top"/>
    </xf>
    <xf numFmtId="44" fontId="2" fillId="32" borderId="29" xfId="192" applyFont="1" applyFill="1" applyBorder="1" applyAlignment="1" applyProtection="1">
      <alignment vertical="top"/>
    </xf>
    <xf numFmtId="0" fontId="0" fillId="32" borderId="0" xfId="0" applyFont="1" applyFill="1" applyBorder="1" applyAlignment="1" applyProtection="1">
      <alignment vertical="top"/>
    </xf>
    <xf numFmtId="164" fontId="2" fillId="32" borderId="0" xfId="192" applyNumberFormat="1" applyFont="1" applyFill="1" applyBorder="1" applyAlignment="1" applyProtection="1">
      <alignment vertical="top"/>
    </xf>
    <xf numFmtId="164" fontId="2" fillId="31" borderId="11" xfId="192" applyNumberFormat="1" applyFont="1" applyFill="1" applyBorder="1" applyAlignment="1" applyProtection="1">
      <alignment vertical="top"/>
    </xf>
    <xf numFmtId="164" fontId="2" fillId="32" borderId="30" xfId="192" applyNumberFormat="1" applyFont="1" applyFill="1" applyBorder="1" applyAlignment="1" applyProtection="1">
      <alignment vertical="top"/>
    </xf>
    <xf numFmtId="164" fontId="0" fillId="29" borderId="11" xfId="192" applyNumberFormat="1" applyFont="1" applyFill="1" applyBorder="1" applyAlignment="1" applyProtection="1">
      <alignment vertical="top"/>
    </xf>
    <xf numFmtId="164" fontId="2" fillId="32" borderId="29" xfId="192" applyNumberFormat="1" applyFont="1" applyFill="1" applyBorder="1" applyAlignment="1" applyProtection="1">
      <alignment vertical="top"/>
    </xf>
    <xf numFmtId="44" fontId="2" fillId="32" borderId="0" xfId="192" applyFont="1" applyFill="1" applyBorder="1" applyAlignment="1" applyProtection="1">
      <alignment vertical="top"/>
    </xf>
    <xf numFmtId="0" fontId="0" fillId="32" borderId="0" xfId="0" applyFont="1" applyFill="1" applyBorder="1" applyAlignment="1" applyProtection="1">
      <alignment horizontal="center" vertical="top"/>
    </xf>
    <xf numFmtId="44" fontId="0" fillId="32" borderId="0" xfId="0" applyNumberFormat="1" applyFont="1" applyFill="1" applyBorder="1" applyAlignment="1" applyProtection="1">
      <alignment vertical="top"/>
    </xf>
    <xf numFmtId="4" fontId="2" fillId="31" borderId="11" xfId="192" applyNumberFormat="1" applyFont="1" applyFill="1" applyBorder="1" applyAlignment="1" applyProtection="1">
      <alignment vertical="top"/>
    </xf>
    <xf numFmtId="10" fontId="5" fillId="34" borderId="11" xfId="121" applyNumberFormat="1" applyFont="1" applyFill="1" applyBorder="1" applyAlignment="1" applyProtection="1">
      <alignment horizontal="right" vertical="top"/>
    </xf>
    <xf numFmtId="0" fontId="6" fillId="32" borderId="11" xfId="30" applyFont="1" applyFill="1" applyBorder="1" applyAlignment="1" applyProtection="1">
      <alignment horizontal="center" vertical="center"/>
    </xf>
    <xf numFmtId="1" fontId="2" fillId="0" borderId="37" xfId="30" applyNumberFormat="1" applyBorder="1" applyAlignment="1" applyProtection="1">
      <alignment horizontal="center"/>
    </xf>
    <xf numFmtId="0" fontId="28" fillId="0" borderId="29" xfId="30" applyFont="1" applyBorder="1" applyAlignment="1" applyProtection="1">
      <alignment horizontal="center"/>
    </xf>
    <xf numFmtId="4" fontId="2" fillId="31" borderId="81" xfId="192" applyNumberFormat="1" applyFont="1" applyFill="1" applyBorder="1" applyProtection="1"/>
    <xf numFmtId="4" fontId="2" fillId="32" borderId="91" xfId="30" applyNumberFormat="1" applyFont="1" applyFill="1" applyBorder="1" applyProtection="1"/>
    <xf numFmtId="4" fontId="2" fillId="31" borderId="60" xfId="192" applyNumberFormat="1" applyFont="1" applyFill="1" applyBorder="1" applyProtection="1"/>
    <xf numFmtId="4" fontId="64" fillId="32" borderId="11" xfId="30" applyNumberFormat="1" applyFont="1" applyFill="1" applyBorder="1" applyProtection="1"/>
    <xf numFmtId="4" fontId="2" fillId="32" borderId="91" xfId="30" applyNumberFormat="1" applyFill="1" applyBorder="1" applyProtection="1"/>
    <xf numFmtId="0" fontId="0" fillId="32" borderId="37" xfId="0" applyFont="1" applyFill="1" applyBorder="1" applyAlignment="1" applyProtection="1">
      <alignment horizontal="left" vertical="top" wrapText="1"/>
    </xf>
    <xf numFmtId="0" fontId="0" fillId="32" borderId="26" xfId="0" applyFont="1" applyFill="1" applyBorder="1" applyAlignment="1" applyProtection="1">
      <alignment horizontal="left" vertical="top" wrapText="1"/>
    </xf>
    <xf numFmtId="0" fontId="0" fillId="32" borderId="0" xfId="0" applyFill="1" applyAlignment="1" applyProtection="1">
      <alignment horizontal="left" vertical="center"/>
    </xf>
    <xf numFmtId="4" fontId="6" fillId="32" borderId="11" xfId="192" applyNumberFormat="1" applyFont="1" applyFill="1" applyBorder="1" applyAlignment="1" applyProtection="1">
      <alignment horizontal="right" vertical="center"/>
    </xf>
    <xf numFmtId="4" fontId="2" fillId="31" borderId="11" xfId="192" applyNumberFormat="1" applyFont="1" applyFill="1" applyBorder="1" applyAlignment="1" applyProtection="1">
      <alignment vertical="center"/>
    </xf>
    <xf numFmtId="4" fontId="5" fillId="32" borderId="11" xfId="192" applyNumberFormat="1" applyFont="1" applyFill="1" applyBorder="1" applyAlignment="1" applyProtection="1">
      <alignment vertical="center"/>
    </xf>
    <xf numFmtId="0" fontId="2" fillId="32" borderId="0" xfId="30" applyFill="1" applyAlignment="1" applyProtection="1">
      <alignment vertical="center"/>
    </xf>
    <xf numFmtId="0" fontId="2" fillId="0" borderId="0" xfId="30" applyAlignment="1" applyProtection="1">
      <alignment vertical="center"/>
    </xf>
    <xf numFmtId="4" fontId="5" fillId="32" borderId="0" xfId="0" applyNumberFormat="1" applyFont="1" applyFill="1" applyBorder="1" applyAlignment="1" applyProtection="1">
      <alignment horizontal="right" vertical="top"/>
    </xf>
    <xf numFmtId="4" fontId="20" fillId="39" borderId="11" xfId="0" applyNumberFormat="1" applyFont="1" applyFill="1" applyBorder="1" applyAlignment="1" applyProtection="1">
      <alignment horizontal="right" vertical="center"/>
    </xf>
    <xf numFmtId="0" fontId="19" fillId="32" borderId="11" xfId="13" applyNumberFormat="1" applyFill="1" applyBorder="1" applyAlignment="1" applyProtection="1">
      <alignment horizontal="center" vertical="top"/>
    </xf>
    <xf numFmtId="164" fontId="5" fillId="31" borderId="11" xfId="192" applyNumberFormat="1" applyFont="1" applyFill="1" applyBorder="1" applyAlignment="1" applyProtection="1">
      <alignment vertical="top"/>
      <protection locked="0"/>
    </xf>
    <xf numFmtId="0" fontId="5" fillId="32" borderId="11" xfId="192" quotePrefix="1" applyNumberFormat="1" applyFont="1" applyFill="1" applyBorder="1" applyAlignment="1" applyProtection="1">
      <alignment horizontal="center" vertical="top"/>
    </xf>
    <xf numFmtId="0" fontId="5" fillId="32" borderId="0" xfId="0" applyFont="1" applyFill="1" applyBorder="1" applyAlignment="1" applyProtection="1">
      <alignment horizontal="right" vertical="top"/>
    </xf>
    <xf numFmtId="0" fontId="0" fillId="32" borderId="0" xfId="0" applyFill="1" applyAlignment="1" applyProtection="1">
      <alignment horizontal="center" vertical="center"/>
    </xf>
    <xf numFmtId="0" fontId="0" fillId="32" borderId="11" xfId="0" applyFill="1" applyBorder="1" applyAlignment="1">
      <alignment horizontal="center" vertical="center"/>
    </xf>
    <xf numFmtId="0" fontId="5" fillId="32" borderId="11" xfId="0" applyFont="1" applyFill="1" applyBorder="1" applyAlignment="1" applyProtection="1">
      <alignment horizontal="left" vertical="top" wrapText="1" indent="5"/>
    </xf>
    <xf numFmtId="0" fontId="2" fillId="32" borderId="11" xfId="0" applyFont="1" applyFill="1" applyBorder="1" applyAlignment="1" applyProtection="1">
      <alignment vertical="top" wrapText="1"/>
    </xf>
    <xf numFmtId="0" fontId="5" fillId="32" borderId="33" xfId="0" applyFont="1" applyFill="1" applyBorder="1" applyAlignment="1" applyProtection="1">
      <alignment horizontal="left" vertical="top" wrapText="1" indent="2"/>
    </xf>
    <xf numFmtId="0" fontId="2" fillId="32" borderId="33" xfId="0" applyFont="1" applyFill="1" applyBorder="1" applyAlignment="1" applyProtection="1">
      <alignment vertical="top" wrapText="1"/>
    </xf>
    <xf numFmtId="0" fontId="0" fillId="32" borderId="11" xfId="0" applyFont="1" applyFill="1" applyBorder="1" applyAlignment="1" applyProtection="1">
      <alignment vertical="center" wrapText="1"/>
    </xf>
    <xf numFmtId="164" fontId="5" fillId="31" borderId="11" xfId="192" applyNumberFormat="1" applyFont="1" applyFill="1" applyBorder="1" applyAlignment="1" applyProtection="1">
      <alignment horizontal="right" vertical="center"/>
    </xf>
    <xf numFmtId="0" fontId="0" fillId="34" borderId="11" xfId="0" applyFill="1" applyBorder="1" applyAlignment="1" applyProtection="1">
      <alignment horizontal="right" vertical="center"/>
    </xf>
    <xf numFmtId="10" fontId="5" fillId="32" borderId="11" xfId="121" applyNumberFormat="1" applyFont="1" applyFill="1" applyBorder="1" applyAlignment="1" applyProtection="1">
      <alignment horizontal="right" vertical="center"/>
    </xf>
    <xf numFmtId="10" fontId="2" fillId="34" borderId="11" xfId="121" applyNumberFormat="1" applyFont="1" applyFill="1" applyBorder="1" applyAlignment="1" applyProtection="1">
      <alignment horizontal="right" vertical="center"/>
    </xf>
    <xf numFmtId="164" fontId="0" fillId="32" borderId="11" xfId="0" applyNumberFormat="1" applyFill="1" applyBorder="1" applyAlignment="1" applyProtection="1">
      <alignment horizontal="right" vertical="center"/>
    </xf>
    <xf numFmtId="0" fontId="0" fillId="32" borderId="11" xfId="0" applyFont="1" applyFill="1" applyBorder="1" applyAlignment="1" applyProtection="1">
      <alignment vertical="center"/>
    </xf>
    <xf numFmtId="0" fontId="6" fillId="32" borderId="34" xfId="174" applyFont="1" applyFill="1" applyBorder="1" applyAlignment="1" applyProtection="1">
      <alignment vertical="center"/>
    </xf>
    <xf numFmtId="0" fontId="6" fillId="32" borderId="39" xfId="174" applyFont="1" applyFill="1" applyBorder="1" applyAlignment="1" applyProtection="1">
      <alignment vertical="center"/>
    </xf>
    <xf numFmtId="164" fontId="6" fillId="0" borderId="88" xfId="174" applyNumberFormat="1" applyFont="1" applyBorder="1" applyAlignment="1" applyProtection="1">
      <alignment vertical="center"/>
    </xf>
    <xf numFmtId="164" fontId="6" fillId="0" borderId="86" xfId="174" applyNumberFormat="1" applyFont="1" applyBorder="1" applyAlignment="1" applyProtection="1">
      <alignment vertical="center"/>
    </xf>
    <xf numFmtId="164" fontId="6" fillId="0" borderId="52" xfId="174" applyNumberFormat="1" applyFont="1" applyBorder="1" applyAlignment="1" applyProtection="1">
      <alignment vertical="center"/>
    </xf>
    <xf numFmtId="164" fontId="6" fillId="29" borderId="88" xfId="174" applyNumberFormat="1" applyFont="1" applyFill="1" applyBorder="1" applyAlignment="1" applyProtection="1">
      <alignment vertical="center"/>
    </xf>
    <xf numFmtId="164" fontId="6" fillId="29" borderId="86" xfId="174" applyNumberFormat="1" applyFont="1" applyFill="1" applyBorder="1" applyAlignment="1" applyProtection="1">
      <alignment vertical="center"/>
    </xf>
    <xf numFmtId="164" fontId="6" fillId="29" borderId="52" xfId="174" applyNumberFormat="1" applyFont="1" applyFill="1" applyBorder="1" applyAlignment="1" applyProtection="1">
      <alignment vertical="center"/>
    </xf>
    <xf numFmtId="164" fontId="6" fillId="32" borderId="0" xfId="174" applyNumberFormat="1" applyFont="1" applyFill="1" applyAlignment="1" applyProtection="1">
      <alignment vertical="center"/>
    </xf>
    <xf numFmtId="0" fontId="2" fillId="0" borderId="0" xfId="174" applyFont="1" applyAlignment="1" applyProtection="1">
      <alignment vertical="center"/>
    </xf>
    <xf numFmtId="0" fontId="6" fillId="0" borderId="0" xfId="174" applyFont="1" applyAlignment="1" applyProtection="1">
      <alignment vertical="center"/>
    </xf>
    <xf numFmtId="0" fontId="20" fillId="32" borderId="11" xfId="0" applyFont="1" applyFill="1" applyBorder="1" applyAlignment="1" applyProtection="1">
      <alignment vertical="center"/>
    </xf>
    <xf numFmtId="164" fontId="20" fillId="32" borderId="11" xfId="192" applyNumberFormat="1" applyFont="1" applyFill="1" applyBorder="1" applyAlignment="1" applyProtection="1">
      <alignment vertical="top"/>
    </xf>
    <xf numFmtId="4" fontId="6" fillId="0" borderId="11" xfId="186" applyNumberFormat="1" applyFont="1" applyBorder="1" applyAlignment="1" applyProtection="1">
      <alignment horizontal="left" vertical="center" wrapText="1"/>
    </xf>
    <xf numFmtId="164" fontId="6" fillId="0" borderId="11" xfId="192" applyNumberFormat="1" applyFont="1" applyFill="1" applyBorder="1" applyAlignment="1" applyProtection="1">
      <alignment vertical="center"/>
    </xf>
    <xf numFmtId="0" fontId="0" fillId="32" borderId="11" xfId="0" applyFill="1" applyBorder="1" applyAlignment="1" applyProtection="1">
      <alignment horizontal="left" vertical="center"/>
    </xf>
    <xf numFmtId="164" fontId="6" fillId="35" borderId="11" xfId="0" applyNumberFormat="1" applyFont="1" applyFill="1" applyBorder="1" applyAlignment="1" applyProtection="1">
      <alignment horizontal="left" vertical="center"/>
    </xf>
    <xf numFmtId="0" fontId="0" fillId="32" borderId="0" xfId="0" applyFont="1" applyFill="1" applyAlignment="1" applyProtection="1">
      <alignment horizontal="left" vertical="center"/>
    </xf>
    <xf numFmtId="164" fontId="6" fillId="32" borderId="11" xfId="0" quotePrefix="1" applyNumberFormat="1" applyFont="1" applyFill="1" applyBorder="1" applyAlignment="1" applyProtection="1">
      <alignment horizontal="right" vertical="center"/>
    </xf>
    <xf numFmtId="164" fontId="5" fillId="31" borderId="11" xfId="192" applyNumberFormat="1" applyFont="1" applyFill="1" applyBorder="1" applyAlignment="1" applyProtection="1">
      <alignment vertical="top"/>
    </xf>
    <xf numFmtId="164" fontId="5" fillId="32" borderId="11" xfId="192" applyNumberFormat="1" applyFont="1" applyFill="1" applyBorder="1" applyAlignment="1" applyProtection="1">
      <alignment vertical="center"/>
    </xf>
    <xf numFmtId="0" fontId="4" fillId="30" borderId="41" xfId="174" applyFont="1" applyFill="1" applyBorder="1" applyAlignment="1" applyProtection="1">
      <alignment vertical="center"/>
    </xf>
    <xf numFmtId="0" fontId="3" fillId="0" borderId="34" xfId="174" applyFont="1" applyFill="1" applyBorder="1" applyProtection="1"/>
    <xf numFmtId="0" fontId="3" fillId="0" borderId="47" xfId="174" applyFont="1" applyFill="1" applyBorder="1" applyProtection="1"/>
    <xf numFmtId="0" fontId="3" fillId="0" borderId="39" xfId="174" applyFont="1" applyFill="1" applyBorder="1" applyAlignment="1" applyProtection="1">
      <alignment horizontal="right"/>
    </xf>
    <xf numFmtId="164" fontId="6" fillId="0" borderId="11" xfId="186" applyNumberFormat="1" applyFont="1" applyBorder="1" applyAlignment="1" applyProtection="1">
      <alignment horizontal="right" vertical="center"/>
    </xf>
    <xf numFmtId="0" fontId="2" fillId="32" borderId="0" xfId="13" applyFont="1" applyFill="1" applyAlignment="1" applyProtection="1">
      <alignment horizontal="left" vertical="top" wrapText="1"/>
    </xf>
    <xf numFmtId="0" fontId="5" fillId="32" borderId="11" xfId="0" applyFont="1" applyFill="1" applyBorder="1" applyAlignment="1" applyProtection="1">
      <alignment horizontal="left" vertical="center" wrapText="1"/>
    </xf>
    <xf numFmtId="0" fontId="19" fillId="32" borderId="11" xfId="13" applyNumberFormat="1" applyFill="1" applyBorder="1" applyAlignment="1" applyProtection="1">
      <alignment horizontal="left" vertical="center"/>
    </xf>
    <xf numFmtId="0" fontId="5" fillId="32" borderId="11" xfId="192" applyNumberFormat="1" applyFont="1" applyFill="1" applyBorder="1" applyAlignment="1" applyProtection="1">
      <alignment horizontal="center" vertical="center"/>
    </xf>
    <xf numFmtId="0" fontId="19" fillId="32" borderId="11" xfId="13" applyNumberFormat="1" applyFill="1" applyBorder="1" applyAlignment="1" applyProtection="1">
      <alignment horizontal="center" vertical="center"/>
    </xf>
    <xf numFmtId="164" fontId="5" fillId="0" borderId="11" xfId="192" applyNumberFormat="1" applyFont="1" applyFill="1" applyBorder="1" applyAlignment="1" applyProtection="1">
      <alignment vertical="center"/>
    </xf>
    <xf numFmtId="0" fontId="2" fillId="32" borderId="11" xfId="192" applyNumberFormat="1" applyFont="1" applyFill="1" applyBorder="1" applyAlignment="1" applyProtection="1">
      <alignment horizontal="center" vertical="center"/>
    </xf>
    <xf numFmtId="164" fontId="2" fillId="31" borderId="11" xfId="192" applyNumberFormat="1" applyFont="1" applyFill="1" applyBorder="1" applyAlignment="1" applyProtection="1">
      <alignment vertical="center"/>
      <protection locked="0"/>
    </xf>
    <xf numFmtId="4" fontId="20" fillId="32" borderId="11" xfId="186" applyNumberFormat="1" applyFont="1" applyFill="1" applyBorder="1" applyAlignment="1" applyProtection="1">
      <alignment horizontal="left" vertical="top" wrapText="1"/>
    </xf>
    <xf numFmtId="0" fontId="2" fillId="32" borderId="11" xfId="186" applyNumberFormat="1" applyFont="1" applyFill="1" applyBorder="1" applyAlignment="1" applyProtection="1">
      <alignment horizontal="center" vertical="top"/>
    </xf>
    <xf numFmtId="164" fontId="2" fillId="32" borderId="11" xfId="192" applyNumberFormat="1" applyFont="1" applyFill="1" applyBorder="1" applyAlignment="1" applyProtection="1">
      <alignment vertical="center"/>
    </xf>
    <xf numFmtId="0" fontId="6" fillId="32" borderId="0" xfId="171" applyFont="1" applyFill="1" applyAlignment="1" applyProtection="1"/>
    <xf numFmtId="0" fontId="16" fillId="32" borderId="0" xfId="186" applyFont="1" applyFill="1" applyProtection="1"/>
    <xf numFmtId="0" fontId="16" fillId="32" borderId="0" xfId="0" applyFont="1" applyFill="1" applyProtection="1"/>
    <xf numFmtId="0" fontId="78" fillId="32" borderId="0" xfId="0" applyFont="1" applyFill="1" applyProtection="1"/>
    <xf numFmtId="0" fontId="0" fillId="32" borderId="0" xfId="0" applyFill="1"/>
    <xf numFmtId="0" fontId="2" fillId="32" borderId="0" xfId="13" applyFont="1" applyFill="1" applyAlignment="1" applyProtection="1">
      <alignment horizontal="left" vertical="top" wrapText="1"/>
    </xf>
    <xf numFmtId="0" fontId="0" fillId="32" borderId="0" xfId="0" applyFill="1" applyAlignment="1"/>
    <xf numFmtId="0" fontId="59" fillId="32" borderId="0" xfId="171" applyFont="1" applyFill="1" applyProtection="1"/>
    <xf numFmtId="0" fontId="18" fillId="32" borderId="0" xfId="171" applyFont="1" applyFill="1" applyAlignment="1" applyProtection="1"/>
    <xf numFmtId="0" fontId="6" fillId="32" borderId="37" xfId="0" applyFont="1" applyFill="1" applyBorder="1" applyAlignment="1" applyProtection="1">
      <alignment horizontal="center" vertical="top"/>
    </xf>
    <xf numFmtId="0" fontId="6" fillId="32" borderId="26" xfId="0" applyFont="1" applyFill="1" applyBorder="1" applyAlignment="1" applyProtection="1">
      <alignment horizontal="center" vertical="top"/>
    </xf>
    <xf numFmtId="0" fontId="6" fillId="32" borderId="11" xfId="0" applyFont="1" applyFill="1" applyBorder="1" applyAlignment="1" applyProtection="1">
      <alignment vertical="center" wrapText="1"/>
    </xf>
    <xf numFmtId="0" fontId="5" fillId="35" borderId="11" xfId="0" applyFont="1" applyFill="1" applyBorder="1" applyAlignment="1" applyProtection="1">
      <alignment horizontal="center" vertical="center" wrapText="1"/>
    </xf>
    <xf numFmtId="164" fontId="6" fillId="32" borderId="11" xfId="192" applyNumberFormat="1" applyFont="1" applyFill="1" applyBorder="1" applyAlignment="1" applyProtection="1">
      <alignment horizontal="right" vertical="center"/>
    </xf>
    <xf numFmtId="0" fontId="0" fillId="32" borderId="11" xfId="0" applyFont="1" applyFill="1" applyBorder="1" applyAlignment="1" applyProtection="1">
      <alignment horizontal="center" vertical="center" wrapText="1"/>
    </xf>
    <xf numFmtId="164" fontId="6" fillId="32" borderId="11" xfId="192" applyNumberFormat="1" applyFont="1" applyFill="1" applyBorder="1" applyAlignment="1" applyProtection="1">
      <alignment vertical="center"/>
    </xf>
    <xf numFmtId="164" fontId="6" fillId="32" borderId="11" xfId="0" quotePrefix="1" applyNumberFormat="1" applyFont="1" applyFill="1" applyBorder="1" applyAlignment="1" applyProtection="1">
      <alignment vertical="center"/>
    </xf>
    <xf numFmtId="0" fontId="55" fillId="29" borderId="0" xfId="13" applyFont="1" applyFill="1" applyBorder="1" applyAlignment="1" applyProtection="1">
      <alignment horizontal="center" vertical="center"/>
    </xf>
    <xf numFmtId="0" fontId="5" fillId="32" borderId="29" xfId="0" applyFont="1" applyFill="1" applyBorder="1" applyAlignment="1" applyProtection="1">
      <alignment horizontal="left" vertical="center" wrapText="1" indent="2"/>
    </xf>
    <xf numFmtId="164" fontId="5" fillId="32" borderId="29" xfId="192" applyNumberFormat="1" applyFont="1" applyFill="1" applyBorder="1" applyAlignment="1" applyProtection="1">
      <alignment vertical="center"/>
    </xf>
    <xf numFmtId="0" fontId="2" fillId="32" borderId="29" xfId="192" applyNumberFormat="1" applyFont="1" applyFill="1" applyBorder="1" applyAlignment="1" applyProtection="1">
      <alignment horizontal="center" vertical="center"/>
    </xf>
    <xf numFmtId="0" fontId="5" fillId="32" borderId="29" xfId="192" applyNumberFormat="1" applyFont="1" applyFill="1" applyBorder="1" applyAlignment="1" applyProtection="1">
      <alignment horizontal="center" vertical="center"/>
    </xf>
    <xf numFmtId="164" fontId="0" fillId="32" borderId="0" xfId="0" applyNumberFormat="1" applyFill="1" applyProtection="1"/>
    <xf numFmtId="10" fontId="6" fillId="32" borderId="73" xfId="121" applyNumberFormat="1" applyFont="1" applyFill="1" applyBorder="1" applyProtection="1"/>
    <xf numFmtId="168" fontId="2" fillId="34" borderId="11" xfId="192" applyNumberFormat="1" applyFont="1" applyFill="1" applyBorder="1" applyAlignment="1" applyProtection="1">
      <alignment vertical="top"/>
    </xf>
    <xf numFmtId="4" fontId="2" fillId="34" borderId="11" xfId="192" applyNumberFormat="1" applyFont="1" applyFill="1" applyBorder="1" applyAlignment="1" applyProtection="1">
      <alignment vertical="top"/>
    </xf>
    <xf numFmtId="168" fontId="2" fillId="32" borderId="11" xfId="192" applyNumberFormat="1" applyFont="1" applyFill="1" applyBorder="1" applyAlignment="1" applyProtection="1">
      <alignment vertical="top"/>
    </xf>
    <xf numFmtId="0" fontId="6" fillId="32" borderId="11" xfId="192" applyNumberFormat="1" applyFont="1" applyFill="1" applyBorder="1" applyAlignment="1" applyProtection="1">
      <alignment horizontal="center" vertical="center"/>
    </xf>
    <xf numFmtId="0" fontId="19" fillId="0" borderId="0" xfId="13" applyAlignment="1" applyProtection="1"/>
    <xf numFmtId="3" fontId="79" fillId="32" borderId="33" xfId="192" applyNumberFormat="1" applyFont="1" applyFill="1" applyBorder="1" applyAlignment="1" applyProtection="1">
      <alignment vertical="top"/>
    </xf>
    <xf numFmtId="3" fontId="5" fillId="32" borderId="33" xfId="192" applyNumberFormat="1" applyFont="1" applyFill="1" applyBorder="1" applyAlignment="1" applyProtection="1">
      <alignment vertical="top"/>
    </xf>
    <xf numFmtId="0" fontId="75" fillId="32" borderId="28" xfId="0" applyFont="1" applyFill="1" applyBorder="1" applyAlignment="1" applyProtection="1">
      <alignment vertical="top"/>
    </xf>
    <xf numFmtId="44" fontId="2" fillId="32" borderId="30" xfId="192" applyFont="1" applyFill="1" applyBorder="1" applyAlignment="1" applyProtection="1">
      <alignment horizontal="center" vertical="center"/>
    </xf>
    <xf numFmtId="0" fontId="55" fillId="29" borderId="28" xfId="13" applyFont="1" applyFill="1" applyBorder="1" applyAlignment="1" applyProtection="1">
      <alignment horizontal="center" vertical="center"/>
    </xf>
    <xf numFmtId="0" fontId="0" fillId="32" borderId="33" xfId="0" applyFont="1" applyFill="1" applyBorder="1" applyAlignment="1" applyProtection="1">
      <alignment horizontal="center" vertical="top" wrapText="1"/>
    </xf>
    <xf numFmtId="3" fontId="19" fillId="32" borderId="33" xfId="13" applyNumberFormat="1" applyFill="1" applyBorder="1" applyAlignment="1" applyProtection="1">
      <alignment horizontal="center" vertical="center"/>
    </xf>
    <xf numFmtId="0" fontId="55" fillId="32" borderId="32" xfId="13" applyFont="1" applyFill="1" applyBorder="1" applyAlignment="1" applyProtection="1">
      <alignment horizontal="center" vertical="center"/>
    </xf>
    <xf numFmtId="0" fontId="0" fillId="32" borderId="28" xfId="0" applyFill="1" applyBorder="1" applyAlignment="1">
      <alignment horizontal="center" vertical="center"/>
    </xf>
    <xf numFmtId="0" fontId="19" fillId="32" borderId="28" xfId="13" applyNumberFormat="1" applyFill="1" applyBorder="1" applyAlignment="1" applyProtection="1">
      <alignment horizontal="center" vertical="top"/>
    </xf>
    <xf numFmtId="0" fontId="55" fillId="32" borderId="28" xfId="13" applyFont="1" applyFill="1" applyBorder="1" applyAlignment="1" applyProtection="1">
      <alignment horizontal="center" vertical="center"/>
    </xf>
    <xf numFmtId="164" fontId="2" fillId="32" borderId="11" xfId="192" applyNumberFormat="1" applyFont="1" applyFill="1" applyBorder="1" applyAlignment="1" applyProtection="1">
      <alignment vertical="center"/>
      <protection locked="0"/>
    </xf>
    <xf numFmtId="164" fontId="5" fillId="32" borderId="11" xfId="192" applyNumberFormat="1" applyFont="1" applyFill="1" applyBorder="1" applyAlignment="1" applyProtection="1">
      <alignment horizontal="right" vertical="center"/>
      <protection locked="0"/>
    </xf>
    <xf numFmtId="4" fontId="5" fillId="32" borderId="11" xfId="192" applyNumberFormat="1" applyFont="1" applyFill="1" applyBorder="1" applyAlignment="1" applyProtection="1">
      <alignment vertical="top"/>
      <protection locked="0"/>
    </xf>
    <xf numFmtId="4" fontId="2" fillId="32" borderId="11" xfId="192" applyNumberFormat="1" applyFont="1" applyFill="1" applyBorder="1" applyAlignment="1" applyProtection="1">
      <alignment vertical="center"/>
      <protection locked="0"/>
    </xf>
    <xf numFmtId="4" fontId="20" fillId="32" borderId="11" xfId="0" applyNumberFormat="1" applyFont="1" applyFill="1" applyBorder="1" applyAlignment="1" applyProtection="1">
      <alignment vertical="center"/>
    </xf>
    <xf numFmtId="4" fontId="6" fillId="32" borderId="11" xfId="192" applyNumberFormat="1" applyFont="1" applyFill="1" applyBorder="1" applyAlignment="1" applyProtection="1">
      <alignment vertical="center"/>
      <protection locked="0"/>
    </xf>
    <xf numFmtId="4" fontId="6" fillId="32" borderId="0" xfId="0" applyNumberFormat="1" applyFont="1" applyFill="1" applyAlignment="1" applyProtection="1">
      <alignment vertical="top"/>
    </xf>
    <xf numFmtId="4" fontId="20" fillId="39" borderId="11" xfId="192" applyNumberFormat="1" applyFont="1" applyFill="1" applyBorder="1" applyAlignment="1" applyProtection="1">
      <alignment vertical="top"/>
      <protection locked="0"/>
    </xf>
    <xf numFmtId="4" fontId="6" fillId="32" borderId="0" xfId="0" applyNumberFormat="1" applyFont="1" applyFill="1" applyProtection="1"/>
    <xf numFmtId="0" fontId="68" fillId="32" borderId="0" xfId="0" applyFont="1" applyFill="1" applyBorder="1" applyAlignment="1" applyProtection="1">
      <alignment vertical="top"/>
    </xf>
    <xf numFmtId="0" fontId="68" fillId="32" borderId="0" xfId="0" applyFont="1" applyFill="1" applyAlignment="1" applyProtection="1">
      <alignment vertical="center"/>
    </xf>
    <xf numFmtId="0" fontId="80" fillId="32" borderId="0" xfId="0" applyFont="1" applyFill="1" applyProtection="1"/>
    <xf numFmtId="0" fontId="68" fillId="32" borderId="0" xfId="0" applyFont="1" applyFill="1" applyAlignment="1" applyProtection="1">
      <alignment horizontal="center" vertical="center"/>
    </xf>
    <xf numFmtId="4" fontId="2" fillId="32" borderId="11" xfId="192" applyNumberFormat="1" applyFont="1" applyFill="1" applyBorder="1" applyAlignment="1" applyProtection="1">
      <alignment horizontal="right" vertical="center"/>
      <protection locked="0"/>
    </xf>
    <xf numFmtId="4" fontId="6" fillId="32" borderId="11" xfId="192" applyNumberFormat="1" applyFont="1" applyFill="1" applyBorder="1" applyAlignment="1" applyProtection="1">
      <alignment horizontal="right" vertical="center"/>
      <protection locked="0"/>
    </xf>
    <xf numFmtId="4" fontId="0" fillId="32" borderId="0" xfId="0" applyNumberFormat="1" applyFill="1" applyAlignment="1" applyProtection="1">
      <alignment horizontal="right" vertical="top"/>
    </xf>
    <xf numFmtId="4" fontId="5" fillId="39" borderId="11" xfId="192" applyNumberFormat="1" applyFont="1" applyFill="1" applyBorder="1" applyAlignment="1" applyProtection="1">
      <alignment horizontal="right" vertical="top"/>
      <protection locked="0"/>
    </xf>
    <xf numFmtId="4" fontId="5" fillId="32" borderId="0" xfId="0" applyNumberFormat="1" applyFont="1" applyFill="1" applyAlignment="1" applyProtection="1">
      <alignment horizontal="right"/>
    </xf>
    <xf numFmtId="4" fontId="6" fillId="32" borderId="11" xfId="192" applyNumberFormat="1" applyFont="1" applyFill="1" applyBorder="1" applyAlignment="1" applyProtection="1">
      <alignment horizontal="right" vertical="top"/>
      <protection locked="0"/>
    </xf>
    <xf numFmtId="4" fontId="20" fillId="39" borderId="11" xfId="192" applyNumberFormat="1" applyFont="1" applyFill="1" applyBorder="1" applyAlignment="1" applyProtection="1">
      <alignment horizontal="right" vertical="top"/>
      <protection locked="0"/>
    </xf>
    <xf numFmtId="0" fontId="6" fillId="32" borderId="26" xfId="0" applyFont="1" applyFill="1" applyBorder="1" applyAlignment="1" applyProtection="1">
      <alignment horizontal="center" vertical="center" wrapText="1"/>
    </xf>
    <xf numFmtId="0" fontId="20" fillId="39" borderId="11" xfId="0" applyFont="1" applyFill="1" applyBorder="1" applyAlignment="1" applyProtection="1">
      <alignment horizontal="center" vertical="center"/>
    </xf>
    <xf numFmtId="4" fontId="20" fillId="39" borderId="11" xfId="0" applyNumberFormat="1" applyFont="1" applyFill="1" applyBorder="1" applyAlignment="1" applyProtection="1">
      <alignment horizontal="center" vertical="center"/>
    </xf>
    <xf numFmtId="0" fontId="80" fillId="32" borderId="0" xfId="0" applyFont="1" applyFill="1" applyAlignment="1" applyProtection="1">
      <alignment horizontal="center" vertical="center"/>
    </xf>
    <xf numFmtId="0" fontId="80" fillId="32" borderId="0" xfId="0" applyFont="1" applyFill="1" applyAlignment="1" applyProtection="1">
      <alignment vertical="center"/>
    </xf>
    <xf numFmtId="0" fontId="5" fillId="32" borderId="29" xfId="0" applyFont="1" applyFill="1" applyBorder="1" applyAlignment="1" applyProtection="1">
      <alignment horizontal="center"/>
    </xf>
    <xf numFmtId="0" fontId="5" fillId="32" borderId="26" xfId="0" applyFont="1" applyFill="1" applyBorder="1" applyAlignment="1" applyProtection="1">
      <alignment horizontal="center"/>
    </xf>
    <xf numFmtId="0" fontId="5" fillId="32" borderId="11" xfId="0" applyFont="1" applyFill="1" applyBorder="1" applyProtection="1"/>
    <xf numFmtId="0" fontId="5" fillId="32" borderId="37" xfId="0" applyFont="1" applyFill="1" applyBorder="1" applyAlignment="1" applyProtection="1">
      <alignment horizontal="center"/>
    </xf>
    <xf numFmtId="0" fontId="6" fillId="32" borderId="37" xfId="0" applyFont="1" applyFill="1" applyBorder="1" applyAlignment="1" applyProtection="1">
      <alignment horizontal="center" vertical="top"/>
    </xf>
    <xf numFmtId="0" fontId="6" fillId="32" borderId="26" xfId="0" applyFont="1" applyFill="1" applyBorder="1" applyAlignment="1" applyProtection="1">
      <alignment horizontal="center" vertical="top"/>
    </xf>
    <xf numFmtId="164" fontId="2" fillId="35" borderId="11" xfId="192" applyNumberFormat="1" applyFont="1" applyFill="1" applyBorder="1" applyAlignment="1" applyProtection="1">
      <alignment vertical="top"/>
    </xf>
    <xf numFmtId="0" fontId="5" fillId="30" borderId="62" xfId="174" applyFont="1" applyFill="1" applyBorder="1" applyProtection="1"/>
    <xf numFmtId="0" fontId="5" fillId="30" borderId="35" xfId="174" applyFont="1" applyFill="1" applyBorder="1" applyProtection="1"/>
    <xf numFmtId="0" fontId="2" fillId="30" borderId="63" xfId="174" applyFont="1" applyFill="1" applyBorder="1" applyAlignment="1" applyProtection="1">
      <alignment vertical="top"/>
    </xf>
    <xf numFmtId="0" fontId="2" fillId="30" borderId="62" xfId="174" applyFont="1" applyFill="1" applyBorder="1" applyProtection="1"/>
    <xf numFmtId="0" fontId="2" fillId="30" borderId="35" xfId="174" applyFont="1" applyFill="1" applyBorder="1" applyProtection="1"/>
    <xf numFmtId="0" fontId="2" fillId="30" borderId="63" xfId="174" applyFont="1" applyFill="1" applyBorder="1" applyProtection="1"/>
    <xf numFmtId="0" fontId="5" fillId="30" borderId="13" xfId="174" applyFont="1" applyFill="1" applyBorder="1" applyProtection="1"/>
    <xf numFmtId="0" fontId="5" fillId="30" borderId="36" xfId="174" applyFont="1" applyFill="1" applyBorder="1" applyProtection="1"/>
    <xf numFmtId="0" fontId="2" fillId="30" borderId="40" xfId="174" applyFont="1" applyFill="1" applyBorder="1" applyAlignment="1" applyProtection="1">
      <alignment vertical="top"/>
    </xf>
    <xf numFmtId="0" fontId="2" fillId="30" borderId="13" xfId="174" applyFont="1" applyFill="1" applyBorder="1" applyProtection="1"/>
    <xf numFmtId="0" fontId="2" fillId="30" borderId="36" xfId="174" applyFont="1" applyFill="1" applyBorder="1" applyProtection="1"/>
    <xf numFmtId="0" fontId="2" fillId="30" borderId="40" xfId="174" applyFont="1" applyFill="1" applyBorder="1" applyProtection="1"/>
    <xf numFmtId="0" fontId="5" fillId="30" borderId="64" xfId="174" applyFont="1" applyFill="1" applyBorder="1" applyProtection="1"/>
    <xf numFmtId="0" fontId="5" fillId="30" borderId="85" xfId="174" applyFont="1" applyFill="1" applyBorder="1" applyProtection="1"/>
    <xf numFmtId="0" fontId="2" fillId="30" borderId="65" xfId="174" applyFont="1" applyFill="1" applyBorder="1" applyAlignment="1" applyProtection="1">
      <alignment vertical="top"/>
    </xf>
    <xf numFmtId="0" fontId="2" fillId="30" borderId="64" xfId="174" applyFont="1" applyFill="1" applyBorder="1" applyProtection="1"/>
    <xf numFmtId="0" fontId="2" fillId="30" borderId="85" xfId="174" applyFont="1" applyFill="1" applyBorder="1" applyProtection="1"/>
    <xf numFmtId="0" fontId="2" fillId="30" borderId="65" xfId="174" applyFont="1" applyFill="1" applyBorder="1" applyProtection="1"/>
    <xf numFmtId="164" fontId="5" fillId="35" borderId="13" xfId="192" applyNumberFormat="1" applyFont="1" applyFill="1" applyBorder="1" applyAlignment="1" applyProtection="1">
      <alignment horizontal="right" vertical="top"/>
      <protection locked="0"/>
    </xf>
    <xf numFmtId="164" fontId="5" fillId="35" borderId="36" xfId="192" applyNumberFormat="1" applyFont="1" applyFill="1" applyBorder="1" applyAlignment="1" applyProtection="1">
      <alignment horizontal="right" vertical="top"/>
      <protection locked="0"/>
    </xf>
    <xf numFmtId="164" fontId="2" fillId="35" borderId="40" xfId="174" applyNumberFormat="1" applyFont="1" applyFill="1" applyBorder="1" applyAlignment="1" applyProtection="1">
      <alignment vertical="top"/>
    </xf>
    <xf numFmtId="164" fontId="5" fillId="35" borderId="27" xfId="192" applyNumberFormat="1" applyFont="1" applyFill="1" applyBorder="1" applyAlignment="1" applyProtection="1">
      <alignment horizontal="right" vertical="top"/>
    </xf>
    <xf numFmtId="164" fontId="5" fillId="35" borderId="36" xfId="192" applyNumberFormat="1" applyFont="1" applyFill="1" applyBorder="1" applyAlignment="1" applyProtection="1">
      <alignment horizontal="right" vertical="top"/>
    </xf>
    <xf numFmtId="15" fontId="2" fillId="0" borderId="0" xfId="171" applyNumberFormat="1" applyFont="1" applyFill="1" applyProtection="1"/>
    <xf numFmtId="0" fontId="0" fillId="32" borderId="0" xfId="0" applyFont="1" applyFill="1" applyAlignment="1" applyProtection="1">
      <alignment vertical="center"/>
    </xf>
    <xf numFmtId="4" fontId="2" fillId="31" borderId="11" xfId="192" applyNumberFormat="1" applyFont="1" applyFill="1" applyBorder="1" applyAlignment="1" applyProtection="1">
      <alignment vertical="center"/>
      <protection locked="0"/>
    </xf>
    <xf numFmtId="0" fontId="2" fillId="0" borderId="11" xfId="192" applyNumberFormat="1" applyFont="1" applyFill="1" applyBorder="1" applyAlignment="1" applyProtection="1">
      <alignment vertical="top"/>
      <protection locked="0"/>
    </xf>
    <xf numFmtId="0" fontId="5" fillId="32" borderId="11" xfId="0" applyFont="1" applyFill="1" applyBorder="1" applyAlignment="1" applyProtection="1">
      <alignment vertical="top"/>
    </xf>
    <xf numFmtId="4" fontId="5" fillId="32" borderId="11" xfId="192" applyNumberFormat="1" applyFont="1" applyFill="1" applyBorder="1" applyAlignment="1" applyProtection="1">
      <alignment horizontal="center" vertical="top"/>
      <protection locked="0"/>
    </xf>
    <xf numFmtId="4" fontId="5" fillId="0" borderId="11" xfId="192" applyNumberFormat="1" applyFont="1" applyFill="1" applyBorder="1" applyAlignment="1" applyProtection="1">
      <alignment horizontal="center" vertical="top"/>
      <protection locked="0"/>
    </xf>
    <xf numFmtId="4" fontId="6" fillId="32" borderId="11" xfId="0" applyNumberFormat="1" applyFont="1" applyFill="1" applyBorder="1" applyProtection="1"/>
    <xf numFmtId="4" fontId="6" fillId="32" borderId="11" xfId="0" applyNumberFormat="1" applyFont="1" applyFill="1" applyBorder="1" applyAlignment="1" applyProtection="1">
      <alignment horizontal="center"/>
    </xf>
    <xf numFmtId="4" fontId="6" fillId="0" borderId="11" xfId="0" applyNumberFormat="1" applyFont="1" applyFill="1" applyBorder="1" applyAlignment="1" applyProtection="1">
      <alignment horizontal="center"/>
    </xf>
    <xf numFmtId="0" fontId="4" fillId="34" borderId="0" xfId="0" applyFont="1" applyFill="1" applyProtection="1"/>
    <xf numFmtId="0" fontId="6" fillId="34" borderId="0" xfId="0" applyFont="1" applyFill="1" applyProtection="1"/>
    <xf numFmtId="0" fontId="0" fillId="34" borderId="0" xfId="0" applyFill="1" applyProtection="1"/>
    <xf numFmtId="0" fontId="0" fillId="34" borderId="0" xfId="0" applyFont="1" applyFill="1" applyProtection="1"/>
    <xf numFmtId="4" fontId="5" fillId="32" borderId="11" xfId="0" applyNumberFormat="1" applyFont="1" applyFill="1" applyBorder="1" applyProtection="1"/>
    <xf numFmtId="0" fontId="6" fillId="32" borderId="11" xfId="0" applyFont="1" applyFill="1" applyBorder="1" applyAlignment="1" applyProtection="1">
      <alignment horizontal="left" vertical="top" wrapText="1"/>
    </xf>
    <xf numFmtId="4" fontId="20" fillId="32" borderId="11" xfId="192" applyNumberFormat="1" applyFont="1" applyFill="1" applyBorder="1" applyAlignment="1" applyProtection="1">
      <alignment vertical="top"/>
      <protection locked="0"/>
    </xf>
    <xf numFmtId="4" fontId="2" fillId="32" borderId="11" xfId="192" applyNumberFormat="1" applyFont="1" applyFill="1" applyBorder="1" applyAlignment="1" applyProtection="1">
      <alignment vertical="top"/>
      <protection locked="0"/>
    </xf>
    <xf numFmtId="0" fontId="6" fillId="32" borderId="92" xfId="0" applyFont="1" applyFill="1" applyBorder="1" applyAlignment="1" applyProtection="1">
      <alignment horizontal="left" vertical="top"/>
    </xf>
    <xf numFmtId="0" fontId="6" fillId="32" borderId="35" xfId="0" applyFont="1" applyFill="1" applyBorder="1" applyAlignment="1" applyProtection="1">
      <alignment horizontal="center" vertical="top" wrapText="1"/>
    </xf>
    <xf numFmtId="164" fontId="5" fillId="0" borderId="11" xfId="192" applyNumberFormat="1" applyFont="1" applyFill="1" applyBorder="1" applyAlignment="1" applyProtection="1">
      <alignment horizontal="right" vertical="center"/>
    </xf>
    <xf numFmtId="4" fontId="79" fillId="32" borderId="0" xfId="0" applyNumberFormat="1" applyFont="1" applyFill="1" applyProtection="1"/>
    <xf numFmtId="169" fontId="75" fillId="34" borderId="11" xfId="121" applyNumberFormat="1" applyFont="1" applyFill="1" applyBorder="1" applyAlignment="1" applyProtection="1">
      <alignment vertical="top"/>
    </xf>
    <xf numFmtId="4" fontId="79" fillId="32" borderId="11" xfId="192" applyNumberFormat="1" applyFont="1" applyFill="1" applyBorder="1" applyAlignment="1" applyProtection="1">
      <alignment horizontal="right" vertical="top"/>
    </xf>
    <xf numFmtId="4" fontId="79" fillId="32" borderId="11" xfId="192" applyNumberFormat="1" applyFont="1" applyFill="1" applyBorder="1" applyAlignment="1" applyProtection="1">
      <alignment vertical="top"/>
    </xf>
    <xf numFmtId="4" fontId="75" fillId="31" borderId="11" xfId="192" applyNumberFormat="1" applyFont="1" applyFill="1" applyBorder="1" applyAlignment="1" applyProtection="1">
      <alignment vertical="top"/>
    </xf>
    <xf numFmtId="0" fontId="81" fillId="32" borderId="0" xfId="186" applyFont="1" applyFill="1" applyProtection="1"/>
    <xf numFmtId="0" fontId="82" fillId="32" borderId="0" xfId="30" applyFont="1" applyFill="1" applyProtection="1"/>
    <xf numFmtId="0" fontId="82" fillId="32" borderId="0" xfId="0" applyFont="1" applyFill="1" applyAlignment="1" applyProtection="1">
      <alignment vertical="top"/>
    </xf>
    <xf numFmtId="0" fontId="83" fillId="32" borderId="0" xfId="186" applyFont="1" applyFill="1" applyProtection="1"/>
    <xf numFmtId="0" fontId="68" fillId="32" borderId="0" xfId="0" applyFont="1" applyFill="1" applyAlignment="1" applyProtection="1">
      <alignment horizontal="center" vertical="top"/>
    </xf>
    <xf numFmtId="0" fontId="84" fillId="0" borderId="0" xfId="13" applyFont="1" applyAlignment="1" applyProtection="1"/>
    <xf numFmtId="0" fontId="86" fillId="32" borderId="11" xfId="0" applyFont="1" applyFill="1" applyBorder="1" applyAlignment="1" applyProtection="1">
      <alignment horizontal="center" vertical="center" wrapText="1"/>
    </xf>
    <xf numFmtId="0" fontId="86" fillId="32" borderId="32" xfId="0" applyFont="1" applyFill="1" applyBorder="1" applyAlignment="1" applyProtection="1">
      <alignment horizontal="center" vertical="top" wrapText="1"/>
    </xf>
    <xf numFmtId="0" fontId="86" fillId="32" borderId="0" xfId="0" applyFont="1" applyFill="1" applyBorder="1" applyAlignment="1" applyProtection="1">
      <alignment horizontal="center" vertical="top" wrapText="1"/>
    </xf>
    <xf numFmtId="4" fontId="87" fillId="31" borderId="11" xfId="192" applyNumberFormat="1" applyFont="1" applyFill="1" applyBorder="1" applyAlignment="1" applyProtection="1">
      <alignment vertical="center"/>
      <protection locked="0"/>
    </xf>
    <xf numFmtId="4" fontId="87" fillId="32" borderId="0" xfId="0" applyNumberFormat="1" applyFont="1" applyFill="1" applyAlignment="1" applyProtection="1">
      <alignment vertical="top"/>
    </xf>
    <xf numFmtId="4" fontId="88" fillId="39" borderId="11" xfId="0" applyNumberFormat="1" applyFont="1" applyFill="1" applyBorder="1" applyAlignment="1" applyProtection="1">
      <alignment vertical="center"/>
    </xf>
    <xf numFmtId="4" fontId="86" fillId="32" borderId="11" xfId="192" applyNumberFormat="1" applyFont="1" applyFill="1" applyBorder="1" applyAlignment="1" applyProtection="1">
      <alignment horizontal="center" vertical="center"/>
      <protection locked="0"/>
    </xf>
    <xf numFmtId="4" fontId="87" fillId="31" borderId="11" xfId="192" applyNumberFormat="1" applyFont="1" applyFill="1" applyBorder="1" applyAlignment="1" applyProtection="1">
      <alignment vertical="top"/>
      <protection locked="0"/>
    </xf>
    <xf numFmtId="4" fontId="87" fillId="32" borderId="0" xfId="0" applyNumberFormat="1" applyFont="1" applyFill="1" applyProtection="1"/>
    <xf numFmtId="4" fontId="86" fillId="39" borderId="11" xfId="0" applyNumberFormat="1" applyFont="1" applyFill="1" applyBorder="1" applyAlignment="1" applyProtection="1">
      <alignment horizontal="center" vertical="center"/>
    </xf>
    <xf numFmtId="4" fontId="85" fillId="39" borderId="11" xfId="192" applyNumberFormat="1" applyFont="1" applyFill="1" applyBorder="1" applyAlignment="1" applyProtection="1">
      <alignment vertical="top"/>
      <protection locked="0"/>
    </xf>
    <xf numFmtId="4" fontId="87" fillId="32" borderId="11" xfId="192" applyNumberFormat="1" applyFont="1" applyFill="1" applyBorder="1" applyAlignment="1" applyProtection="1">
      <alignment vertical="top"/>
      <protection locked="0"/>
    </xf>
    <xf numFmtId="0" fontId="87" fillId="32" borderId="0" xfId="0" applyFont="1" applyFill="1" applyProtection="1"/>
    <xf numFmtId="0" fontId="87" fillId="32" borderId="11" xfId="0" applyFont="1" applyFill="1" applyBorder="1" applyAlignment="1" applyProtection="1">
      <alignment vertical="top"/>
    </xf>
    <xf numFmtId="0" fontId="87" fillId="32" borderId="32" xfId="0" applyFont="1" applyFill="1" applyBorder="1" applyAlignment="1" applyProtection="1">
      <alignment vertical="top"/>
    </xf>
    <xf numFmtId="164" fontId="87" fillId="31" borderId="11" xfId="192" applyNumberFormat="1" applyFont="1" applyFill="1" applyBorder="1" applyAlignment="1" applyProtection="1">
      <alignment vertical="top"/>
      <protection locked="0"/>
    </xf>
    <xf numFmtId="0" fontId="87" fillId="32" borderId="0" xfId="0" applyFont="1" applyFill="1" applyAlignment="1" applyProtection="1">
      <alignment vertical="top"/>
    </xf>
    <xf numFmtId="0" fontId="88" fillId="32" borderId="11" xfId="0" applyFont="1" applyFill="1" applyBorder="1" applyAlignment="1" applyProtection="1">
      <alignment vertical="top"/>
    </xf>
    <xf numFmtId="164" fontId="88" fillId="32" borderId="11" xfId="0" applyNumberFormat="1" applyFont="1" applyFill="1" applyBorder="1" applyAlignment="1" applyProtection="1">
      <alignment vertical="top"/>
    </xf>
    <xf numFmtId="9" fontId="87" fillId="32" borderId="11" xfId="121" applyFont="1" applyFill="1" applyBorder="1" applyAlignment="1" applyProtection="1">
      <alignment vertical="top"/>
      <protection locked="0"/>
    </xf>
    <xf numFmtId="9" fontId="87" fillId="32" borderId="0" xfId="121" applyFont="1" applyFill="1" applyProtection="1"/>
    <xf numFmtId="4" fontId="86" fillId="32" borderId="11" xfId="0" applyNumberFormat="1" applyFont="1" applyFill="1" applyBorder="1" applyAlignment="1" applyProtection="1">
      <alignment horizontal="right" vertical="center"/>
    </xf>
    <xf numFmtId="9" fontId="86" fillId="32" borderId="11" xfId="121" applyFont="1" applyFill="1" applyBorder="1" applyAlignment="1" applyProtection="1">
      <alignment horizontal="right" vertical="center"/>
    </xf>
    <xf numFmtId="0" fontId="79" fillId="32" borderId="0" xfId="0" applyFont="1" applyFill="1" applyAlignment="1" applyProtection="1">
      <alignment vertical="top"/>
    </xf>
    <xf numFmtId="164" fontId="2" fillId="31" borderId="11" xfId="192" applyNumberFormat="1" applyFont="1" applyFill="1" applyBorder="1" applyAlignment="1" applyProtection="1">
      <alignment vertical="top"/>
      <protection locked="0"/>
    </xf>
    <xf numFmtId="4" fontId="6" fillId="39" borderId="11" xfId="0" applyNumberFormat="1" applyFont="1" applyFill="1" applyBorder="1" applyAlignment="1" applyProtection="1">
      <alignment horizontal="right" vertical="center"/>
    </xf>
    <xf numFmtId="0" fontId="55" fillId="0" borderId="0" xfId="13" applyFont="1" applyFill="1" applyAlignment="1" applyProtection="1"/>
    <xf numFmtId="0" fontId="55" fillId="0" borderId="0" xfId="13" applyFont="1" applyAlignment="1" applyProtection="1"/>
    <xf numFmtId="0" fontId="20" fillId="32" borderId="31" xfId="0" applyFont="1" applyFill="1" applyBorder="1" applyAlignment="1" applyProtection="1">
      <alignment horizontal="center" vertical="center" wrapText="1"/>
    </xf>
    <xf numFmtId="0" fontId="20" fillId="32" borderId="11" xfId="0" applyFont="1" applyFill="1" applyBorder="1" applyAlignment="1" applyProtection="1">
      <alignment horizontal="center" vertical="center" wrapText="1"/>
    </xf>
    <xf numFmtId="164" fontId="6" fillId="32" borderId="11" xfId="192" applyNumberFormat="1" applyFont="1" applyFill="1" applyBorder="1" applyAlignment="1" applyProtection="1">
      <alignment vertical="top"/>
      <protection locked="0"/>
    </xf>
    <xf numFmtId="4" fontId="0" fillId="32" borderId="0" xfId="0" applyNumberFormat="1" applyFont="1" applyFill="1" applyAlignment="1" applyProtection="1">
      <alignment vertical="top"/>
    </xf>
    <xf numFmtId="4" fontId="0" fillId="32" borderId="0" xfId="0" applyNumberFormat="1" applyFont="1" applyFill="1" applyProtection="1"/>
    <xf numFmtId="0" fontId="59" fillId="32" borderId="0" xfId="0" applyFont="1" applyFill="1" applyProtection="1"/>
    <xf numFmtId="0" fontId="6" fillId="32" borderId="37" xfId="1" applyFont="1" applyFill="1" applyBorder="1" applyAlignment="1" applyProtection="1">
      <alignment horizontal="left"/>
    </xf>
    <xf numFmtId="0" fontId="6" fillId="32" borderId="29" xfId="1" applyFont="1" applyFill="1" applyBorder="1" applyAlignment="1" applyProtection="1">
      <alignment horizontal="left"/>
    </xf>
    <xf numFmtId="0" fontId="6" fillId="32" borderId="26" xfId="1" applyFont="1" applyFill="1" applyBorder="1" applyAlignment="1" applyProtection="1">
      <alignment horizontal="left"/>
    </xf>
    <xf numFmtId="0" fontId="6" fillId="31" borderId="34" xfId="192" applyNumberFormat="1" applyFont="1" applyFill="1" applyBorder="1" applyAlignment="1" applyProtection="1">
      <alignment horizontal="center"/>
      <protection locked="0"/>
    </xf>
    <xf numFmtId="0" fontId="6" fillId="31" borderId="47" xfId="192" applyNumberFormat="1" applyFont="1" applyFill="1" applyBorder="1" applyAlignment="1" applyProtection="1">
      <alignment horizontal="center"/>
      <protection locked="0"/>
    </xf>
    <xf numFmtId="0" fontId="6" fillId="31" borderId="39" xfId="192" applyNumberFormat="1" applyFont="1" applyFill="1" applyBorder="1" applyAlignment="1" applyProtection="1">
      <alignment horizontal="center"/>
      <protection locked="0"/>
    </xf>
    <xf numFmtId="0" fontId="6" fillId="31" borderId="34" xfId="0" applyFont="1" applyFill="1" applyBorder="1" applyAlignment="1" applyProtection="1">
      <alignment horizontal="center"/>
      <protection locked="0"/>
    </xf>
    <xf numFmtId="0" fontId="6" fillId="31" borderId="47" xfId="0" applyFont="1" applyFill="1" applyBorder="1" applyAlignment="1" applyProtection="1">
      <alignment horizontal="center"/>
      <protection locked="0"/>
    </xf>
    <xf numFmtId="0" fontId="6" fillId="31" borderId="39" xfId="0" applyFont="1" applyFill="1" applyBorder="1" applyAlignment="1" applyProtection="1">
      <alignment horizontal="center"/>
      <protection locked="0"/>
    </xf>
    <xf numFmtId="0" fontId="19" fillId="0" borderId="0" xfId="13" applyAlignment="1" applyProtection="1">
      <alignment wrapText="1"/>
    </xf>
    <xf numFmtId="0" fontId="2" fillId="32" borderId="0" xfId="13" applyFont="1" applyFill="1" applyAlignment="1" applyProtection="1">
      <alignment horizontal="left" vertical="top" wrapText="1"/>
    </xf>
    <xf numFmtId="0" fontId="0" fillId="32" borderId="0" xfId="13" applyFont="1" applyFill="1" applyAlignment="1" applyProtection="1">
      <alignment horizontal="left" vertical="top" wrapText="1"/>
    </xf>
    <xf numFmtId="4" fontId="6" fillId="32" borderId="93" xfId="186" applyNumberFormat="1" applyFont="1" applyFill="1" applyBorder="1" applyAlignment="1" applyProtection="1">
      <alignment horizontal="center" vertical="center"/>
    </xf>
    <xf numFmtId="4" fontId="6" fillId="32" borderId="29" xfId="186" applyNumberFormat="1" applyFont="1" applyFill="1" applyBorder="1" applyAlignment="1" applyProtection="1">
      <alignment horizontal="center" vertical="center"/>
    </xf>
    <xf numFmtId="4" fontId="6" fillId="32" borderId="26" xfId="186" applyNumberFormat="1" applyFont="1" applyFill="1" applyBorder="1" applyAlignment="1" applyProtection="1">
      <alignment horizontal="center" vertical="center"/>
    </xf>
    <xf numFmtId="4" fontId="6" fillId="32" borderId="94" xfId="186" applyNumberFormat="1" applyFont="1" applyFill="1" applyBorder="1" applyAlignment="1" applyProtection="1">
      <alignment horizontal="center" vertical="center"/>
    </xf>
    <xf numFmtId="4" fontId="6" fillId="32" borderId="95" xfId="186" applyNumberFormat="1" applyFont="1" applyFill="1" applyBorder="1" applyAlignment="1" applyProtection="1">
      <alignment horizontal="center" vertical="center"/>
    </xf>
    <xf numFmtId="4" fontId="6" fillId="32" borderId="67" xfId="186" applyNumberFormat="1" applyFont="1" applyFill="1" applyBorder="1" applyAlignment="1" applyProtection="1">
      <alignment horizontal="center" vertical="center"/>
    </xf>
    <xf numFmtId="4" fontId="6" fillId="32" borderId="96" xfId="186" applyNumberFormat="1" applyFont="1" applyFill="1" applyBorder="1" applyAlignment="1" applyProtection="1">
      <alignment horizontal="center" vertical="center"/>
    </xf>
    <xf numFmtId="4" fontId="6" fillId="32" borderId="97" xfId="186" applyNumberFormat="1" applyFont="1" applyFill="1" applyBorder="1" applyAlignment="1" applyProtection="1">
      <alignment horizontal="center" vertical="center"/>
    </xf>
    <xf numFmtId="4" fontId="6" fillId="32" borderId="98" xfId="186" applyNumberFormat="1" applyFont="1" applyFill="1" applyBorder="1" applyAlignment="1" applyProtection="1">
      <alignment horizontal="center" vertical="center"/>
    </xf>
    <xf numFmtId="4" fontId="6" fillId="32" borderId="99" xfId="186" applyNumberFormat="1" applyFont="1" applyFill="1" applyBorder="1" applyAlignment="1" applyProtection="1">
      <alignment horizontal="center" vertical="center"/>
    </xf>
    <xf numFmtId="4" fontId="6" fillId="32" borderId="30" xfId="186" applyNumberFormat="1" applyFont="1" applyFill="1" applyBorder="1" applyAlignment="1" applyProtection="1">
      <alignment horizontal="center" vertical="center"/>
    </xf>
    <xf numFmtId="4" fontId="6" fillId="32" borderId="68" xfId="186" applyNumberFormat="1" applyFont="1" applyFill="1" applyBorder="1" applyAlignment="1" applyProtection="1">
      <alignment horizontal="center" vertical="center"/>
    </xf>
    <xf numFmtId="4" fontId="4" fillId="32" borderId="96" xfId="186" applyNumberFormat="1" applyFont="1" applyFill="1" applyBorder="1" applyAlignment="1" applyProtection="1">
      <alignment horizontal="center" vertical="center"/>
    </xf>
    <xf numFmtId="4" fontId="4" fillId="32" borderId="97" xfId="186" applyNumberFormat="1" applyFont="1" applyFill="1" applyBorder="1" applyAlignment="1" applyProtection="1">
      <alignment horizontal="center" vertical="center"/>
    </xf>
    <xf numFmtId="4" fontId="4" fillId="32" borderId="98" xfId="186" applyNumberFormat="1" applyFont="1" applyFill="1" applyBorder="1" applyAlignment="1" applyProtection="1">
      <alignment horizontal="center" vertical="center"/>
    </xf>
    <xf numFmtId="4" fontId="4" fillId="32" borderId="99" xfId="186" applyNumberFormat="1" applyFont="1" applyFill="1" applyBorder="1" applyAlignment="1" applyProtection="1">
      <alignment horizontal="center" vertical="center"/>
    </xf>
    <xf numFmtId="4" fontId="4" fillId="32" borderId="30" xfId="186" applyNumberFormat="1" applyFont="1" applyFill="1" applyBorder="1" applyAlignment="1" applyProtection="1">
      <alignment horizontal="center" vertical="center"/>
    </xf>
    <xf numFmtId="4" fontId="4" fillId="32" borderId="68" xfId="186" applyNumberFormat="1" applyFont="1" applyFill="1" applyBorder="1" applyAlignment="1" applyProtection="1">
      <alignment horizontal="center" vertical="center"/>
    </xf>
    <xf numFmtId="0" fontId="4" fillId="32" borderId="95" xfId="186" applyNumberFormat="1" applyFont="1" applyFill="1" applyBorder="1" applyAlignment="1" applyProtection="1">
      <alignment horizontal="center" vertical="center"/>
    </xf>
    <xf numFmtId="0" fontId="4" fillId="32" borderId="67" xfId="186" applyNumberFormat="1" applyFont="1" applyFill="1" applyBorder="1" applyAlignment="1" applyProtection="1">
      <alignment horizontal="center" vertical="center"/>
    </xf>
    <xf numFmtId="0" fontId="21" fillId="32" borderId="34" xfId="0" applyFont="1" applyFill="1" applyBorder="1" applyAlignment="1" applyProtection="1">
      <alignment horizontal="center"/>
    </xf>
    <xf numFmtId="0" fontId="21" fillId="32" borderId="47" xfId="0" applyFont="1" applyFill="1" applyBorder="1" applyAlignment="1" applyProtection="1">
      <alignment horizontal="center"/>
    </xf>
    <xf numFmtId="0" fontId="21" fillId="32" borderId="39" xfId="0" applyFont="1" applyFill="1" applyBorder="1" applyAlignment="1" applyProtection="1">
      <alignment horizontal="center"/>
    </xf>
    <xf numFmtId="4" fontId="4" fillId="32" borderId="95" xfId="186" applyNumberFormat="1" applyFont="1" applyFill="1" applyBorder="1" applyAlignment="1" applyProtection="1">
      <alignment horizontal="center" vertical="center"/>
    </xf>
    <xf numFmtId="4" fontId="4" fillId="32" borderId="67" xfId="186" applyNumberFormat="1" applyFont="1" applyFill="1" applyBorder="1" applyAlignment="1" applyProtection="1">
      <alignment horizontal="center" vertical="center"/>
    </xf>
    <xf numFmtId="0" fontId="6" fillId="32" borderId="34" xfId="0" applyNumberFormat="1" applyFont="1" applyFill="1" applyBorder="1" applyAlignment="1" applyProtection="1">
      <alignment horizontal="center"/>
    </xf>
    <xf numFmtId="0" fontId="6" fillId="32" borderId="47" xfId="0" applyNumberFormat="1" applyFont="1" applyFill="1" applyBorder="1" applyAlignment="1" applyProtection="1">
      <alignment horizontal="center"/>
    </xf>
    <xf numFmtId="0" fontId="6" fillId="32" borderId="39" xfId="0" applyNumberFormat="1" applyFont="1" applyFill="1" applyBorder="1" applyAlignment="1" applyProtection="1">
      <alignment horizontal="center"/>
    </xf>
    <xf numFmtId="0" fontId="6" fillId="32" borderId="34" xfId="0" applyFont="1" applyFill="1" applyBorder="1" applyAlignment="1" applyProtection="1">
      <alignment horizontal="center"/>
    </xf>
    <xf numFmtId="0" fontId="6" fillId="32" borderId="47" xfId="0" applyFont="1" applyFill="1" applyBorder="1" applyAlignment="1" applyProtection="1">
      <alignment horizontal="center"/>
    </xf>
    <xf numFmtId="0" fontId="6" fillId="32" borderId="39" xfId="0" applyFont="1" applyFill="1" applyBorder="1" applyAlignment="1" applyProtection="1">
      <alignment horizontal="center"/>
    </xf>
    <xf numFmtId="0" fontId="21" fillId="32" borderId="34" xfId="0" applyFont="1" applyFill="1" applyBorder="1" applyAlignment="1" applyProtection="1">
      <alignment horizontal="center" vertical="top"/>
    </xf>
    <xf numFmtId="0" fontId="21" fillId="32" borderId="47" xfId="0" applyFont="1" applyFill="1" applyBorder="1" applyAlignment="1" applyProtection="1">
      <alignment horizontal="center" vertical="top"/>
    </xf>
    <xf numFmtId="0" fontId="21" fillId="32" borderId="39" xfId="0" applyFont="1" applyFill="1" applyBorder="1" applyAlignment="1" applyProtection="1">
      <alignment horizontal="center" vertical="top"/>
    </xf>
    <xf numFmtId="4" fontId="4" fillId="0" borderId="33" xfId="186" applyNumberFormat="1" applyFont="1" applyBorder="1" applyAlignment="1" applyProtection="1">
      <alignment horizontal="center" vertical="center" wrapText="1"/>
    </xf>
    <xf numFmtId="4" fontId="4" fillId="0" borderId="27" xfId="186" applyNumberFormat="1" applyFont="1" applyBorder="1" applyAlignment="1" applyProtection="1">
      <alignment horizontal="center" vertical="center" wrapText="1"/>
    </xf>
    <xf numFmtId="4" fontId="4" fillId="0" borderId="28" xfId="186" applyNumberFormat="1" applyFont="1" applyBorder="1" applyAlignment="1" applyProtection="1">
      <alignment horizontal="center" vertical="center" wrapText="1"/>
    </xf>
    <xf numFmtId="0" fontId="4" fillId="0" borderId="33" xfId="186" applyNumberFormat="1" applyFont="1" applyBorder="1" applyAlignment="1" applyProtection="1">
      <alignment horizontal="center" vertical="center"/>
    </xf>
    <xf numFmtId="0" fontId="4" fillId="0" borderId="27" xfId="186" applyNumberFormat="1" applyFont="1" applyBorder="1" applyAlignment="1" applyProtection="1">
      <alignment horizontal="center" vertical="center"/>
    </xf>
    <xf numFmtId="0" fontId="4" fillId="0" borderId="28" xfId="186" applyNumberFormat="1" applyFont="1" applyBorder="1" applyAlignment="1" applyProtection="1">
      <alignment horizontal="center" vertical="center"/>
    </xf>
    <xf numFmtId="44" fontId="0" fillId="0" borderId="37" xfId="192" applyFont="1" applyBorder="1" applyAlignment="1" applyProtection="1">
      <alignment horizontal="center" vertical="top"/>
    </xf>
    <xf numFmtId="0" fontId="4" fillId="32" borderId="33" xfId="186" applyNumberFormat="1" applyFont="1" applyFill="1" applyBorder="1" applyAlignment="1" applyProtection="1">
      <alignment horizontal="center" vertical="center"/>
    </xf>
    <xf numFmtId="0" fontId="4" fillId="32" borderId="27" xfId="186" applyNumberFormat="1" applyFont="1" applyFill="1" applyBorder="1" applyAlignment="1" applyProtection="1">
      <alignment horizontal="center" vertical="center"/>
    </xf>
    <xf numFmtId="0" fontId="4" fillId="32" borderId="28" xfId="186" applyNumberFormat="1" applyFont="1" applyFill="1" applyBorder="1" applyAlignment="1" applyProtection="1">
      <alignment horizontal="center" vertical="center"/>
    </xf>
    <xf numFmtId="0" fontId="0" fillId="32" borderId="33" xfId="0" applyFill="1" applyBorder="1" applyAlignment="1" applyProtection="1">
      <alignment horizontal="center" vertical="top"/>
    </xf>
    <xf numFmtId="0" fontId="0" fillId="32" borderId="28" xfId="0" applyFill="1" applyBorder="1" applyAlignment="1" applyProtection="1">
      <alignment horizontal="center" vertical="top"/>
    </xf>
    <xf numFmtId="0" fontId="5" fillId="32" borderId="0" xfId="0" applyFont="1" applyFill="1" applyAlignment="1" applyProtection="1">
      <alignment horizontal="left" vertical="top" wrapText="1"/>
    </xf>
    <xf numFmtId="0" fontId="4" fillId="0" borderId="11" xfId="186" applyNumberFormat="1" applyFont="1" applyBorder="1" applyAlignment="1" applyProtection="1">
      <alignment horizontal="center" vertical="center"/>
    </xf>
    <xf numFmtId="44" fontId="0" fillId="0" borderId="11" xfId="192" applyFont="1" applyBorder="1" applyAlignment="1" applyProtection="1">
      <alignment horizontal="center" vertical="top"/>
    </xf>
    <xf numFmtId="44" fontId="2" fillId="32" borderId="33" xfId="192" applyFont="1" applyFill="1" applyBorder="1" applyAlignment="1" applyProtection="1">
      <alignment horizontal="center" vertical="top" wrapText="1"/>
    </xf>
    <xf numFmtId="44" fontId="2" fillId="32" borderId="27" xfId="192" applyFont="1" applyFill="1" applyBorder="1" applyAlignment="1" applyProtection="1">
      <alignment horizontal="center" vertical="top" wrapText="1"/>
    </xf>
    <xf numFmtId="44" fontId="2" fillId="32" borderId="28" xfId="192" applyFont="1" applyFill="1" applyBorder="1" applyAlignment="1" applyProtection="1">
      <alignment horizontal="center" vertical="top" wrapText="1"/>
    </xf>
    <xf numFmtId="0" fontId="4" fillId="32" borderId="91" xfId="186" applyNumberFormat="1" applyFont="1" applyFill="1" applyBorder="1" applyAlignment="1" applyProtection="1">
      <alignment horizontal="center" vertical="center"/>
    </xf>
    <xf numFmtId="0" fontId="24" fillId="32" borderId="37" xfId="30" applyFont="1" applyFill="1" applyBorder="1" applyAlignment="1" applyProtection="1">
      <alignment horizontal="center"/>
    </xf>
    <xf numFmtId="0" fontId="24" fillId="32" borderId="29" xfId="30" applyFont="1" applyFill="1" applyBorder="1" applyAlignment="1" applyProtection="1">
      <alignment horizontal="center"/>
    </xf>
    <xf numFmtId="0" fontId="24" fillId="32" borderId="26" xfId="30" applyFont="1" applyFill="1" applyBorder="1" applyAlignment="1" applyProtection="1">
      <alignment horizontal="center"/>
    </xf>
    <xf numFmtId="0" fontId="2" fillId="32" borderId="33" xfId="30" applyFont="1" applyFill="1" applyBorder="1" applyAlignment="1" applyProtection="1">
      <alignment vertical="center" wrapText="1"/>
    </xf>
    <xf numFmtId="0" fontId="61" fillId="32" borderId="27" xfId="46" applyFill="1" applyBorder="1" applyAlignment="1" applyProtection="1"/>
    <xf numFmtId="0" fontId="61" fillId="32" borderId="28" xfId="46" applyFill="1" applyBorder="1" applyAlignment="1" applyProtection="1"/>
    <xf numFmtId="0" fontId="24" fillId="0" borderId="37" xfId="30" applyFont="1" applyFill="1" applyBorder="1" applyAlignment="1" applyProtection="1">
      <alignment horizontal="center"/>
    </xf>
    <xf numFmtId="0" fontId="24" fillId="0" borderId="29" xfId="30" applyFont="1" applyFill="1" applyBorder="1" applyAlignment="1" applyProtection="1">
      <alignment horizontal="center"/>
    </xf>
    <xf numFmtId="0" fontId="24" fillId="0" borderId="26" xfId="30" applyFont="1" applyFill="1" applyBorder="1" applyAlignment="1" applyProtection="1">
      <alignment horizontal="center"/>
    </xf>
    <xf numFmtId="0" fontId="0" fillId="0" borderId="33" xfId="30" applyFont="1" applyFill="1" applyBorder="1" applyAlignment="1" applyProtection="1">
      <alignment vertical="center" wrapText="1"/>
    </xf>
    <xf numFmtId="0" fontId="61" fillId="0" borderId="27" xfId="46" applyFill="1" applyBorder="1" applyAlignment="1" applyProtection="1">
      <alignment vertical="center" wrapText="1"/>
    </xf>
    <xf numFmtId="0" fontId="61" fillId="0" borderId="28" xfId="46" applyFill="1" applyBorder="1" applyAlignment="1" applyProtection="1"/>
    <xf numFmtId="0" fontId="6" fillId="32" borderId="0" xfId="30" applyFont="1" applyFill="1" applyBorder="1" applyAlignment="1" applyProtection="1">
      <alignment horizontal="center"/>
    </xf>
    <xf numFmtId="0" fontId="61" fillId="0" borderId="28" xfId="46" applyFill="1" applyBorder="1" applyAlignment="1" applyProtection="1">
      <alignment vertical="center" wrapText="1"/>
    </xf>
    <xf numFmtId="0" fontId="23" fillId="0" borderId="34" xfId="30" applyFont="1" applyBorder="1" applyAlignment="1" applyProtection="1">
      <alignment horizontal="center" vertical="center"/>
    </xf>
    <xf numFmtId="0" fontId="23" fillId="0" borderId="47" xfId="30" applyFont="1" applyBorder="1" applyAlignment="1" applyProtection="1">
      <alignment horizontal="center" vertical="center"/>
    </xf>
    <xf numFmtId="0" fontId="23" fillId="0" borderId="39" xfId="30" applyFont="1" applyBorder="1" applyAlignment="1" applyProtection="1">
      <alignment horizontal="center" vertical="center"/>
    </xf>
    <xf numFmtId="0" fontId="23" fillId="0" borderId="34" xfId="30" applyFont="1" applyFill="1" applyBorder="1" applyAlignment="1" applyProtection="1">
      <alignment horizontal="center" vertical="center"/>
    </xf>
    <xf numFmtId="0" fontId="23" fillId="0" borderId="47" xfId="30" applyFont="1" applyFill="1" applyBorder="1" applyAlignment="1" applyProtection="1">
      <alignment horizontal="center" vertical="center"/>
    </xf>
    <xf numFmtId="0" fontId="23" fillId="0" borderId="39" xfId="30" applyFont="1" applyFill="1" applyBorder="1" applyAlignment="1" applyProtection="1">
      <alignment horizontal="center" vertical="center"/>
    </xf>
    <xf numFmtId="0" fontId="24" fillId="32" borderId="34" xfId="30" applyFont="1" applyFill="1" applyBorder="1" applyAlignment="1" applyProtection="1">
      <alignment horizontal="center"/>
    </xf>
    <xf numFmtId="0" fontId="24" fillId="32" borderId="47" xfId="30" applyFont="1" applyFill="1" applyBorder="1" applyAlignment="1" applyProtection="1">
      <alignment horizontal="center"/>
    </xf>
    <xf numFmtId="0" fontId="24" fillId="32" borderId="39" xfId="30" applyFont="1" applyFill="1" applyBorder="1" applyAlignment="1" applyProtection="1">
      <alignment horizontal="center"/>
    </xf>
    <xf numFmtId="0" fontId="23" fillId="32" borderId="34" xfId="30" applyFont="1" applyFill="1" applyBorder="1" applyAlignment="1" applyProtection="1">
      <alignment horizontal="center" vertical="center"/>
    </xf>
    <xf numFmtId="0" fontId="23" fillId="32" borderId="47" xfId="30" applyFont="1" applyFill="1" applyBorder="1" applyAlignment="1" applyProtection="1">
      <alignment horizontal="center" vertical="center"/>
    </xf>
    <xf numFmtId="0" fontId="23" fillId="32" borderId="39" xfId="30" applyFont="1" applyFill="1" applyBorder="1" applyAlignment="1" applyProtection="1">
      <alignment horizontal="center" vertical="center"/>
    </xf>
    <xf numFmtId="0" fontId="27" fillId="32" borderId="14" xfId="30" applyFont="1" applyFill="1" applyBorder="1" applyAlignment="1" applyProtection="1">
      <alignment horizontal="center"/>
    </xf>
    <xf numFmtId="0" fontId="27" fillId="32" borderId="0" xfId="30" applyFont="1" applyFill="1" applyAlignment="1" applyProtection="1">
      <alignment horizontal="center"/>
    </xf>
    <xf numFmtId="0" fontId="21" fillId="32" borderId="34" xfId="186" applyFont="1" applyFill="1" applyBorder="1" applyAlignment="1" applyProtection="1">
      <alignment horizontal="center"/>
    </xf>
    <xf numFmtId="0" fontId="21" fillId="32" borderId="47" xfId="186" applyFont="1" applyFill="1" applyBorder="1" applyAlignment="1" applyProtection="1">
      <alignment horizontal="center"/>
    </xf>
    <xf numFmtId="0" fontId="21" fillId="32" borderId="39" xfId="186" applyFont="1" applyFill="1" applyBorder="1" applyAlignment="1" applyProtection="1">
      <alignment horizontal="center"/>
    </xf>
    <xf numFmtId="0" fontId="34" fillId="32" borderId="34" xfId="30" applyFont="1" applyFill="1" applyBorder="1" applyAlignment="1" applyProtection="1">
      <alignment horizontal="center"/>
    </xf>
    <xf numFmtId="0" fontId="34" fillId="32" borderId="47" xfId="30" applyFont="1" applyFill="1" applyBorder="1" applyAlignment="1" applyProtection="1">
      <alignment horizontal="center"/>
    </xf>
    <xf numFmtId="0" fontId="34" fillId="32" borderId="39" xfId="30" applyFont="1" applyFill="1" applyBorder="1" applyAlignment="1" applyProtection="1">
      <alignment horizontal="center"/>
    </xf>
    <xf numFmtId="0" fontId="5" fillId="32" borderId="37" xfId="0" applyFont="1" applyFill="1" applyBorder="1" applyAlignment="1" applyProtection="1">
      <alignment horizontal="center" vertical="center" wrapText="1"/>
    </xf>
    <xf numFmtId="0" fontId="5" fillId="32" borderId="29" xfId="0" applyFont="1" applyFill="1" applyBorder="1" applyAlignment="1" applyProtection="1">
      <alignment horizontal="center" vertical="center" wrapText="1"/>
    </xf>
    <xf numFmtId="0" fontId="5" fillId="32" borderId="26" xfId="0" applyFont="1" applyFill="1" applyBorder="1" applyAlignment="1" applyProtection="1">
      <alignment horizontal="center" vertical="center" wrapText="1"/>
    </xf>
    <xf numFmtId="0" fontId="6" fillId="32" borderId="37" xfId="0" applyFont="1" applyFill="1" applyBorder="1" applyAlignment="1" applyProtection="1">
      <alignment horizontal="center" vertical="center" wrapText="1"/>
    </xf>
    <xf numFmtId="0" fontId="6" fillId="32" borderId="29" xfId="0" applyFont="1" applyFill="1" applyBorder="1" applyAlignment="1" applyProtection="1">
      <alignment horizontal="center" vertical="center" wrapText="1"/>
    </xf>
    <xf numFmtId="0" fontId="6" fillId="32" borderId="26" xfId="0" applyFont="1" applyFill="1" applyBorder="1" applyAlignment="1" applyProtection="1">
      <alignment horizontal="center" vertical="center" wrapText="1"/>
    </xf>
    <xf numFmtId="0" fontId="5" fillId="39" borderId="37" xfId="0" applyFont="1" applyFill="1" applyBorder="1" applyAlignment="1" applyProtection="1">
      <alignment horizontal="center" vertical="center" wrapText="1"/>
    </xf>
    <xf numFmtId="0" fontId="5" fillId="39" borderId="29" xfId="0" applyFont="1" applyFill="1" applyBorder="1" applyAlignment="1" applyProtection="1">
      <alignment horizontal="center" vertical="center" wrapText="1"/>
    </xf>
    <xf numFmtId="0" fontId="5" fillId="39" borderId="26" xfId="0" applyFont="1" applyFill="1" applyBorder="1" applyAlignment="1" applyProtection="1">
      <alignment horizontal="center" vertical="center" wrapText="1"/>
    </xf>
    <xf numFmtId="0" fontId="5" fillId="32" borderId="32" xfId="0" applyFont="1" applyFill="1" applyBorder="1" applyAlignment="1" applyProtection="1">
      <alignment horizontal="right" vertical="top"/>
    </xf>
    <xf numFmtId="0" fontId="5" fillId="32" borderId="0" xfId="0" applyFont="1" applyFill="1" applyBorder="1" applyAlignment="1" applyProtection="1">
      <alignment horizontal="center"/>
    </xf>
    <xf numFmtId="0" fontId="0" fillId="32" borderId="37" xfId="0" applyFill="1" applyBorder="1" applyAlignment="1" applyProtection="1">
      <alignment horizontal="center" vertical="center" wrapText="1"/>
    </xf>
    <xf numFmtId="0" fontId="0" fillId="32" borderId="29" xfId="0" applyFill="1" applyBorder="1" applyAlignment="1" applyProtection="1">
      <alignment horizontal="center" vertical="center" wrapText="1"/>
    </xf>
    <xf numFmtId="0" fontId="0" fillId="32" borderId="26" xfId="0" applyFill="1" applyBorder="1" applyAlignment="1" applyProtection="1">
      <alignment horizontal="center" vertical="center" wrapText="1"/>
    </xf>
    <xf numFmtId="0" fontId="20" fillId="39" borderId="37" xfId="0" applyFont="1" applyFill="1" applyBorder="1" applyAlignment="1" applyProtection="1">
      <alignment horizontal="left" vertical="center"/>
    </xf>
    <xf numFmtId="0" fontId="20" fillId="39" borderId="29" xfId="0" applyFont="1" applyFill="1" applyBorder="1" applyAlignment="1" applyProtection="1">
      <alignment horizontal="left" vertical="center"/>
    </xf>
    <xf numFmtId="0" fontId="20" fillId="39" borderId="26" xfId="0" applyFont="1" applyFill="1" applyBorder="1" applyAlignment="1" applyProtection="1">
      <alignment horizontal="left" vertical="center"/>
    </xf>
    <xf numFmtId="0" fontId="6" fillId="32" borderId="37" xfId="0" applyFont="1" applyFill="1" applyBorder="1" applyAlignment="1" applyProtection="1">
      <alignment horizontal="left" vertical="top" wrapText="1"/>
    </xf>
    <xf numFmtId="0" fontId="6" fillId="32" borderId="29" xfId="0" applyFont="1" applyFill="1" applyBorder="1" applyAlignment="1" applyProtection="1">
      <alignment horizontal="left" vertical="top" wrapText="1"/>
    </xf>
    <xf numFmtId="0" fontId="6" fillId="32" borderId="26" xfId="0" applyFont="1" applyFill="1" applyBorder="1" applyAlignment="1" applyProtection="1">
      <alignment horizontal="left" vertical="top" wrapText="1"/>
    </xf>
    <xf numFmtId="0" fontId="6" fillId="32" borderId="37" xfId="0" applyFont="1" applyFill="1" applyBorder="1" applyAlignment="1" applyProtection="1">
      <alignment horizontal="left" vertical="center" wrapText="1"/>
    </xf>
    <xf numFmtId="0" fontId="6" fillId="32" borderId="29" xfId="0" applyFont="1" applyFill="1" applyBorder="1" applyAlignment="1" applyProtection="1">
      <alignment horizontal="left" vertical="center" wrapText="1"/>
    </xf>
    <xf numFmtId="0" fontId="6" fillId="32" borderId="26" xfId="0" applyFont="1" applyFill="1" applyBorder="1" applyAlignment="1" applyProtection="1">
      <alignment horizontal="left" vertical="center" wrapText="1"/>
    </xf>
    <xf numFmtId="0" fontId="6" fillId="32" borderId="11" xfId="0" applyFont="1" applyFill="1" applyBorder="1" applyAlignment="1" applyProtection="1">
      <alignment horizontal="left" vertical="top" wrapText="1"/>
    </xf>
    <xf numFmtId="0" fontId="0" fillId="32" borderId="11" xfId="0" applyFill="1" applyBorder="1" applyAlignment="1" applyProtection="1">
      <alignment horizontal="left" vertical="center" wrapText="1"/>
    </xf>
    <xf numFmtId="0" fontId="0" fillId="32" borderId="37" xfId="0" applyFill="1" applyBorder="1" applyAlignment="1" applyProtection="1">
      <alignment horizontal="left" vertical="center" wrapText="1"/>
    </xf>
    <xf numFmtId="0" fontId="0" fillId="32" borderId="29" xfId="0" applyFill="1" applyBorder="1" applyAlignment="1" applyProtection="1">
      <alignment horizontal="left" vertical="center" wrapText="1"/>
    </xf>
    <xf numFmtId="0" fontId="0" fillId="32" borderId="26" xfId="0" applyFill="1" applyBorder="1" applyAlignment="1" applyProtection="1">
      <alignment horizontal="left" vertical="center" wrapText="1"/>
    </xf>
    <xf numFmtId="0" fontId="6" fillId="32" borderId="11" xfId="0" applyFont="1" applyFill="1" applyBorder="1" applyAlignment="1" applyProtection="1">
      <alignment horizontal="left" vertical="center" wrapText="1"/>
    </xf>
    <xf numFmtId="0" fontId="20" fillId="32" borderId="37" xfId="0" applyFont="1" applyFill="1" applyBorder="1" applyAlignment="1" applyProtection="1">
      <alignment horizontal="left"/>
    </xf>
    <xf numFmtId="0" fontId="20" fillId="32" borderId="29" xfId="0" applyFont="1" applyFill="1" applyBorder="1" applyAlignment="1" applyProtection="1">
      <alignment horizontal="left"/>
    </xf>
    <xf numFmtId="0" fontId="20" fillId="32" borderId="26" xfId="0" applyFont="1" applyFill="1" applyBorder="1" applyAlignment="1" applyProtection="1">
      <alignment horizontal="left"/>
    </xf>
    <xf numFmtId="0" fontId="6" fillId="32" borderId="37" xfId="0" applyFont="1" applyFill="1" applyBorder="1" applyAlignment="1" applyProtection="1">
      <alignment horizontal="left" vertical="center"/>
    </xf>
    <xf numFmtId="0" fontId="6" fillId="32" borderId="29" xfId="0" applyFont="1" applyFill="1" applyBorder="1" applyAlignment="1" applyProtection="1">
      <alignment horizontal="left" vertical="center"/>
    </xf>
    <xf numFmtId="0" fontId="6" fillId="32" borderId="26" xfId="0" applyFont="1" applyFill="1" applyBorder="1" applyAlignment="1" applyProtection="1">
      <alignment horizontal="left" vertical="center"/>
    </xf>
    <xf numFmtId="0" fontId="21" fillId="32" borderId="34" xfId="186" applyFont="1" applyFill="1" applyBorder="1" applyAlignment="1" applyProtection="1">
      <alignment horizontal="center" wrapText="1"/>
    </xf>
    <xf numFmtId="0" fontId="21" fillId="32" borderId="47" xfId="186" applyFont="1" applyFill="1" applyBorder="1" applyAlignment="1" applyProtection="1">
      <alignment horizontal="center" wrapText="1"/>
    </xf>
    <xf numFmtId="0" fontId="21" fillId="32" borderId="39" xfId="186" applyFont="1" applyFill="1" applyBorder="1" applyAlignment="1" applyProtection="1">
      <alignment horizontal="center" wrapText="1"/>
    </xf>
    <xf numFmtId="0" fontId="23" fillId="0" borderId="34" xfId="30" applyFont="1" applyFill="1" applyBorder="1" applyAlignment="1" applyProtection="1">
      <alignment horizontal="center"/>
    </xf>
    <xf numFmtId="0" fontId="23" fillId="0" borderId="47" xfId="30" applyFont="1" applyFill="1" applyBorder="1" applyAlignment="1" applyProtection="1">
      <alignment horizontal="center"/>
    </xf>
    <xf numFmtId="0" fontId="23" fillId="0" borderId="39" xfId="30" applyFont="1" applyFill="1" applyBorder="1" applyAlignment="1" applyProtection="1">
      <alignment horizontal="center"/>
    </xf>
    <xf numFmtId="0" fontId="34" fillId="32" borderId="37" xfId="30" applyFont="1" applyFill="1" applyBorder="1" applyAlignment="1" applyProtection="1">
      <alignment horizontal="center"/>
    </xf>
    <xf numFmtId="0" fontId="34" fillId="32" borderId="29" xfId="30" applyFont="1" applyFill="1" applyBorder="1" applyAlignment="1" applyProtection="1">
      <alignment horizontal="center"/>
    </xf>
    <xf numFmtId="0" fontId="34" fillId="32" borderId="26" xfId="30" applyFont="1" applyFill="1" applyBorder="1" applyAlignment="1" applyProtection="1">
      <alignment horizontal="center"/>
    </xf>
    <xf numFmtId="0" fontId="5" fillId="32" borderId="37" xfId="0" applyFont="1" applyFill="1" applyBorder="1" applyAlignment="1" applyProtection="1">
      <alignment horizontal="left" vertical="center" wrapText="1"/>
    </xf>
    <xf numFmtId="0" fontId="5" fillId="32" borderId="26" xfId="0" applyFont="1" applyFill="1" applyBorder="1" applyAlignment="1" applyProtection="1">
      <alignment horizontal="left" vertical="center" wrapText="1"/>
    </xf>
    <xf numFmtId="0" fontId="6" fillId="32" borderId="37" xfId="0" applyFont="1" applyFill="1" applyBorder="1" applyAlignment="1" applyProtection="1">
      <alignment horizontal="center" vertical="top" wrapText="1"/>
    </xf>
    <xf numFmtId="0" fontId="6" fillId="32" borderId="26" xfId="0" applyFont="1" applyFill="1" applyBorder="1" applyAlignment="1" applyProtection="1">
      <alignment horizontal="center" vertical="top" wrapText="1"/>
    </xf>
    <xf numFmtId="0" fontId="23" fillId="32" borderId="34" xfId="30" applyFont="1" applyFill="1" applyBorder="1" applyAlignment="1" applyProtection="1">
      <alignment horizontal="center"/>
    </xf>
    <xf numFmtId="0" fontId="23" fillId="32" borderId="47" xfId="30" applyFont="1" applyFill="1" applyBorder="1" applyAlignment="1" applyProtection="1">
      <alignment horizontal="center"/>
    </xf>
    <xf numFmtId="0" fontId="23" fillId="32" borderId="39" xfId="30" applyFont="1" applyFill="1" applyBorder="1" applyAlignment="1" applyProtection="1">
      <alignment horizontal="center"/>
    </xf>
    <xf numFmtId="0" fontId="61" fillId="32" borderId="27" xfId="46" applyFill="1" applyBorder="1" applyAlignment="1" applyProtection="1">
      <alignment vertical="center" wrapText="1"/>
    </xf>
    <xf numFmtId="0" fontId="61" fillId="32" borderId="28" xfId="46" applyFill="1" applyBorder="1" applyAlignment="1" applyProtection="1">
      <alignment vertical="center" wrapText="1"/>
    </xf>
    <xf numFmtId="0" fontId="23" fillId="0" borderId="34" xfId="30" applyFont="1" applyBorder="1" applyAlignment="1" applyProtection="1">
      <alignment horizontal="center"/>
    </xf>
    <xf numFmtId="0" fontId="23" fillId="0" borderId="47" xfId="30" applyFont="1" applyBorder="1" applyAlignment="1" applyProtection="1">
      <alignment horizontal="center"/>
    </xf>
    <xf numFmtId="0" fontId="23" fillId="0" borderId="39" xfId="30" applyFont="1" applyBorder="1" applyAlignment="1" applyProtection="1">
      <alignment horizontal="center"/>
    </xf>
    <xf numFmtId="0" fontId="21" fillId="32" borderId="34" xfId="0" applyFont="1" applyFill="1" applyBorder="1" applyAlignment="1" applyProtection="1">
      <alignment horizontal="center" wrapText="1"/>
    </xf>
    <xf numFmtId="0" fontId="21" fillId="32" borderId="47" xfId="0" applyFont="1" applyFill="1" applyBorder="1" applyAlignment="1" applyProtection="1">
      <alignment horizontal="center" wrapText="1"/>
    </xf>
    <xf numFmtId="0" fontId="21" fillId="32" borderId="39" xfId="0" applyFont="1" applyFill="1" applyBorder="1" applyAlignment="1" applyProtection="1">
      <alignment horizontal="center" wrapText="1"/>
    </xf>
    <xf numFmtId="0" fontId="4" fillId="30" borderId="42" xfId="174" applyFont="1" applyFill="1" applyBorder="1" applyAlignment="1" applyProtection="1">
      <alignment horizontal="left" vertical="center" wrapText="1"/>
    </xf>
    <xf numFmtId="0" fontId="4" fillId="30" borderId="43" xfId="174" applyFont="1" applyFill="1" applyBorder="1" applyAlignment="1" applyProtection="1">
      <alignment horizontal="left" vertical="center" wrapText="1"/>
    </xf>
    <xf numFmtId="0" fontId="57" fillId="0" borderId="42" xfId="174" applyFont="1" applyFill="1" applyBorder="1" applyAlignment="1" applyProtection="1">
      <alignment horizontal="left" wrapText="1"/>
    </xf>
    <xf numFmtId="0" fontId="57" fillId="0" borderId="43" xfId="174" applyFont="1" applyFill="1" applyBorder="1" applyAlignment="1" applyProtection="1">
      <alignment horizontal="left" wrapText="1"/>
    </xf>
    <xf numFmtId="0" fontId="2" fillId="0" borderId="42" xfId="174" applyFont="1" applyFill="1" applyBorder="1" applyAlignment="1" applyProtection="1">
      <alignment horizontal="left" vertical="center" wrapText="1"/>
    </xf>
    <xf numFmtId="0" fontId="2" fillId="0" borderId="43" xfId="174" applyFont="1" applyFill="1" applyBorder="1" applyAlignment="1" applyProtection="1">
      <alignment horizontal="left" vertical="center" wrapText="1"/>
    </xf>
    <xf numFmtId="0" fontId="6" fillId="32" borderId="42" xfId="184" applyFont="1" applyFill="1" applyBorder="1" applyAlignment="1" applyProtection="1">
      <alignment horizontal="left" wrapText="1"/>
    </xf>
    <xf numFmtId="0" fontId="6" fillId="32" borderId="43" xfId="184" applyFont="1" applyFill="1" applyBorder="1" applyAlignment="1" applyProtection="1">
      <alignment horizontal="left" wrapText="1"/>
    </xf>
    <xf numFmtId="0" fontId="6" fillId="0" borderId="100" xfId="174" applyFont="1" applyFill="1" applyBorder="1" applyAlignment="1" applyProtection="1">
      <alignment horizontal="center" vertical="center" wrapText="1"/>
    </xf>
    <xf numFmtId="0" fontId="6" fillId="0" borderId="83" xfId="174" applyFont="1" applyFill="1" applyBorder="1" applyAlignment="1" applyProtection="1">
      <alignment horizontal="center" vertical="center" wrapText="1"/>
    </xf>
    <xf numFmtId="0" fontId="6" fillId="0" borderId="66" xfId="174" applyFont="1" applyFill="1" applyBorder="1" applyAlignment="1" applyProtection="1">
      <alignment horizontal="center" vertical="center" wrapText="1"/>
    </xf>
    <xf numFmtId="0" fontId="6" fillId="32" borderId="100" xfId="184" applyFont="1" applyFill="1" applyBorder="1" applyAlignment="1" applyProtection="1">
      <alignment horizontal="center" vertical="center" wrapText="1"/>
    </xf>
    <xf numFmtId="0" fontId="6" fillId="32" borderId="83" xfId="184" applyFont="1" applyFill="1" applyBorder="1" applyAlignment="1" applyProtection="1">
      <alignment horizontal="center" vertical="center" wrapText="1"/>
    </xf>
    <xf numFmtId="0" fontId="6" fillId="32" borderId="66" xfId="184" applyFont="1" applyFill="1" applyBorder="1" applyAlignment="1" applyProtection="1">
      <alignment horizontal="center" vertical="center" wrapText="1"/>
    </xf>
    <xf numFmtId="0" fontId="3" fillId="32" borderId="48" xfId="171" applyFont="1" applyFill="1" applyBorder="1" applyAlignment="1" applyProtection="1">
      <alignment horizontal="center" vertical="center"/>
    </xf>
    <xf numFmtId="0" fontId="3" fillId="32" borderId="49" xfId="171" applyFont="1" applyFill="1" applyBorder="1" applyAlignment="1" applyProtection="1">
      <alignment horizontal="center" vertical="center"/>
    </xf>
    <xf numFmtId="0" fontId="3" fillId="32" borderId="50" xfId="171" applyFont="1" applyFill="1" applyBorder="1" applyAlignment="1" applyProtection="1">
      <alignment horizontal="center" vertical="center"/>
    </xf>
    <xf numFmtId="0" fontId="3" fillId="32" borderId="14" xfId="171" applyFont="1" applyFill="1" applyBorder="1" applyAlignment="1" applyProtection="1">
      <alignment horizontal="center" vertical="center"/>
    </xf>
    <xf numFmtId="0" fontId="3" fillId="32" borderId="0" xfId="171" applyFont="1" applyFill="1" applyBorder="1" applyAlignment="1" applyProtection="1">
      <alignment horizontal="center" vertical="center"/>
    </xf>
    <xf numFmtId="0" fontId="3" fillId="32" borderId="40" xfId="171" applyFont="1" applyFill="1" applyBorder="1" applyAlignment="1" applyProtection="1">
      <alignment horizontal="center" vertical="center"/>
    </xf>
    <xf numFmtId="0" fontId="3" fillId="32" borderId="51" xfId="171" applyFont="1" applyFill="1" applyBorder="1" applyAlignment="1" applyProtection="1">
      <alignment horizontal="center" vertical="center"/>
    </xf>
    <xf numFmtId="0" fontId="3" fillId="32" borderId="15" xfId="171" applyFont="1" applyFill="1" applyBorder="1" applyAlignment="1" applyProtection="1">
      <alignment horizontal="center" vertical="center"/>
    </xf>
    <xf numFmtId="0" fontId="3" fillId="32" borderId="52" xfId="171" applyFont="1" applyFill="1" applyBorder="1" applyAlignment="1" applyProtection="1">
      <alignment horizontal="center" vertical="center"/>
    </xf>
    <xf numFmtId="0" fontId="6" fillId="32" borderId="87" xfId="171" applyFont="1" applyFill="1" applyBorder="1" applyAlignment="1" applyProtection="1">
      <alignment horizontal="center" vertical="center" wrapText="1"/>
    </xf>
    <xf numFmtId="0" fontId="6" fillId="32" borderId="13" xfId="171" applyFont="1" applyFill="1" applyBorder="1" applyAlignment="1" applyProtection="1">
      <alignment horizontal="center" vertical="center" wrapText="1"/>
    </xf>
    <xf numFmtId="0" fontId="6" fillId="32" borderId="88" xfId="171" applyFont="1" applyFill="1" applyBorder="1" applyAlignment="1" applyProtection="1">
      <alignment horizontal="center" vertical="center" wrapText="1"/>
    </xf>
    <xf numFmtId="0" fontId="6" fillId="32" borderId="101" xfId="171" applyFont="1" applyFill="1" applyBorder="1" applyAlignment="1" applyProtection="1">
      <alignment horizontal="center" vertical="center" wrapText="1"/>
    </xf>
    <xf numFmtId="0" fontId="6" fillId="32" borderId="27" xfId="171" applyFont="1" applyFill="1" applyBorder="1" applyAlignment="1" applyProtection="1">
      <alignment horizontal="center" vertical="center" wrapText="1"/>
    </xf>
    <xf numFmtId="0" fontId="6" fillId="32" borderId="102" xfId="171" applyFont="1" applyFill="1" applyBorder="1" applyAlignment="1" applyProtection="1">
      <alignment horizontal="center" vertical="center" wrapText="1"/>
    </xf>
    <xf numFmtId="0" fontId="6" fillId="32" borderId="50" xfId="184" applyFont="1" applyFill="1" applyBorder="1" applyAlignment="1" applyProtection="1">
      <alignment horizontal="center" vertical="center" wrapText="1"/>
    </xf>
    <xf numFmtId="0" fontId="6" fillId="32" borderId="40" xfId="184" applyFont="1" applyFill="1" applyBorder="1" applyAlignment="1" applyProtection="1">
      <alignment horizontal="center" vertical="center" wrapText="1"/>
    </xf>
    <xf numFmtId="0" fontId="6" fillId="32" borderId="52" xfId="184" applyFont="1" applyFill="1" applyBorder="1" applyAlignment="1" applyProtection="1">
      <alignment horizontal="center" vertical="center" wrapText="1"/>
    </xf>
    <xf numFmtId="0" fontId="0" fillId="32" borderId="37" xfId="0" applyFont="1" applyFill="1" applyBorder="1" applyAlignment="1" applyProtection="1">
      <alignment horizontal="left" vertical="top" wrapText="1"/>
    </xf>
    <xf numFmtId="0" fontId="0" fillId="32" borderId="26" xfId="0" applyFont="1" applyFill="1" applyBorder="1" applyAlignment="1" applyProtection="1">
      <alignment horizontal="left" vertical="top" wrapText="1"/>
    </xf>
    <xf numFmtId="0" fontId="5" fillId="32" borderId="37" xfId="0" applyFont="1" applyFill="1" applyBorder="1" applyAlignment="1" applyProtection="1">
      <alignment horizontal="left" vertical="top" wrapText="1"/>
    </xf>
    <xf numFmtId="0" fontId="5" fillId="32" borderId="26" xfId="0" applyFont="1" applyFill="1" applyBorder="1" applyAlignment="1" applyProtection="1">
      <alignment horizontal="left" vertical="top" wrapText="1"/>
    </xf>
    <xf numFmtId="0" fontId="6" fillId="32" borderId="37" xfId="0" applyFont="1" applyFill="1" applyBorder="1" applyAlignment="1" applyProtection="1">
      <alignment horizontal="left" vertical="top"/>
    </xf>
    <xf numFmtId="0" fontId="6" fillId="32" borderId="26" xfId="0" applyFont="1" applyFill="1" applyBorder="1" applyAlignment="1" applyProtection="1">
      <alignment horizontal="left" vertical="top"/>
    </xf>
    <xf numFmtId="0" fontId="6" fillId="32" borderId="37" xfId="0" applyFont="1" applyFill="1" applyBorder="1" applyAlignment="1" applyProtection="1">
      <alignment horizontal="center" vertical="top"/>
    </xf>
    <xf numFmtId="0" fontId="6" fillId="32" borderId="26" xfId="0" applyFont="1" applyFill="1" applyBorder="1" applyAlignment="1" applyProtection="1">
      <alignment horizontal="center" vertical="top"/>
    </xf>
    <xf numFmtId="0" fontId="27" fillId="32" borderId="0" xfId="30" applyFont="1" applyFill="1" applyAlignment="1" applyProtection="1">
      <alignment horizontal="center" vertical="center"/>
    </xf>
    <xf numFmtId="0" fontId="21" fillId="32" borderId="34" xfId="186" applyFont="1" applyFill="1" applyBorder="1" applyAlignment="1" applyProtection="1">
      <alignment horizontal="center" vertical="center" wrapText="1"/>
    </xf>
    <xf numFmtId="0" fontId="21" fillId="32" borderId="47" xfId="186" applyFont="1" applyFill="1" applyBorder="1" applyAlignment="1" applyProtection="1">
      <alignment horizontal="center" vertical="center" wrapText="1"/>
    </xf>
    <xf numFmtId="0" fontId="21" fillId="32" borderId="39" xfId="186" applyFont="1" applyFill="1" applyBorder="1" applyAlignment="1" applyProtection="1">
      <alignment horizontal="center" vertical="center" wrapText="1"/>
    </xf>
    <xf numFmtId="0" fontId="0" fillId="32" borderId="37" xfId="0" applyFill="1" applyBorder="1" applyAlignment="1" applyProtection="1">
      <alignment horizontal="left" vertical="top" wrapText="1"/>
    </xf>
    <xf numFmtId="0" fontId="0" fillId="32" borderId="26" xfId="0" applyFill="1" applyBorder="1" applyAlignment="1" applyProtection="1">
      <alignment horizontal="left" vertical="top" wrapText="1"/>
    </xf>
    <xf numFmtId="0" fontId="6" fillId="32" borderId="34" xfId="0" applyNumberFormat="1" applyFont="1" applyFill="1" applyBorder="1" applyAlignment="1" applyProtection="1">
      <alignment horizontal="center" vertical="center"/>
    </xf>
    <xf numFmtId="0" fontId="6" fillId="32" borderId="47" xfId="0" applyNumberFormat="1" applyFont="1" applyFill="1" applyBorder="1" applyAlignment="1" applyProtection="1">
      <alignment horizontal="center" vertical="center"/>
    </xf>
    <xf numFmtId="0" fontId="6" fillId="32" borderId="39" xfId="0" applyNumberFormat="1" applyFont="1" applyFill="1" applyBorder="1" applyAlignment="1" applyProtection="1">
      <alignment horizontal="center" vertical="center"/>
    </xf>
    <xf numFmtId="0" fontId="6" fillId="32" borderId="34" xfId="0" applyFont="1" applyFill="1" applyBorder="1" applyAlignment="1" applyProtection="1">
      <alignment horizontal="center" vertical="center"/>
    </xf>
    <xf numFmtId="0" fontId="6" fillId="32" borderId="47" xfId="0" applyFont="1" applyFill="1" applyBorder="1" applyAlignment="1" applyProtection="1">
      <alignment horizontal="center" vertical="center"/>
    </xf>
    <xf numFmtId="0" fontId="6" fillId="32" borderId="39" xfId="0" applyFont="1" applyFill="1" applyBorder="1" applyAlignment="1" applyProtection="1">
      <alignment horizontal="center" vertical="center"/>
    </xf>
    <xf numFmtId="0" fontId="5" fillId="32" borderId="30" xfId="0" applyFont="1" applyFill="1" applyBorder="1" applyAlignment="1" applyProtection="1">
      <alignment horizontal="center"/>
    </xf>
    <xf numFmtId="0" fontId="20" fillId="32" borderId="37" xfId="0" applyFont="1" applyFill="1" applyBorder="1" applyAlignment="1" applyProtection="1">
      <alignment horizontal="left" vertical="center"/>
    </xf>
    <xf numFmtId="0" fontId="20" fillId="32" borderId="29" xfId="0" applyFont="1" applyFill="1" applyBorder="1" applyAlignment="1" applyProtection="1">
      <alignment horizontal="left" vertical="center"/>
    </xf>
    <xf numFmtId="0" fontId="20" fillId="32" borderId="26" xfId="0" applyFont="1" applyFill="1" applyBorder="1" applyAlignment="1" applyProtection="1">
      <alignment horizontal="left" vertical="center"/>
    </xf>
    <xf numFmtId="0" fontId="20" fillId="32" borderId="37" xfId="0" applyFont="1" applyFill="1" applyBorder="1" applyAlignment="1" applyProtection="1">
      <alignment horizontal="left" vertical="top"/>
    </xf>
    <xf numFmtId="0" fontId="20" fillId="32" borderId="29" xfId="0" applyFont="1" applyFill="1" applyBorder="1" applyAlignment="1" applyProtection="1">
      <alignment horizontal="left" vertical="top"/>
    </xf>
    <xf numFmtId="0" fontId="20" fillId="32" borderId="26" xfId="0" applyFont="1" applyFill="1" applyBorder="1" applyAlignment="1" applyProtection="1">
      <alignment horizontal="left" vertical="top"/>
    </xf>
    <xf numFmtId="0" fontId="6" fillId="32" borderId="37" xfId="0" applyFont="1" applyFill="1" applyBorder="1" applyAlignment="1" applyProtection="1">
      <alignment horizontal="center" vertical="center"/>
    </xf>
    <xf numFmtId="0" fontId="6" fillId="32" borderId="29" xfId="0" applyFont="1" applyFill="1" applyBorder="1" applyAlignment="1" applyProtection="1">
      <alignment horizontal="center" vertical="center"/>
    </xf>
    <xf numFmtId="0" fontId="6" fillId="32" borderId="26" xfId="0" applyFont="1" applyFill="1" applyBorder="1" applyAlignment="1" applyProtection="1">
      <alignment horizontal="center" vertical="center"/>
    </xf>
    <xf numFmtId="0" fontId="0" fillId="32" borderId="11" xfId="0" applyFont="1" applyFill="1" applyBorder="1" applyAlignment="1" applyProtection="1">
      <alignment horizontal="left" vertical="top" wrapText="1"/>
    </xf>
    <xf numFmtId="0" fontId="20" fillId="39" borderId="37" xfId="0" applyFont="1" applyFill="1" applyBorder="1" applyAlignment="1" applyProtection="1">
      <alignment horizontal="left" vertical="center" wrapText="1"/>
    </xf>
    <xf numFmtId="0" fontId="20" fillId="39" borderId="29" xfId="0" applyFont="1" applyFill="1" applyBorder="1" applyAlignment="1" applyProtection="1">
      <alignment horizontal="left" vertical="center" wrapText="1"/>
    </xf>
    <xf numFmtId="0" fontId="20" fillId="39" borderId="26" xfId="0" applyFont="1" applyFill="1" applyBorder="1" applyAlignment="1" applyProtection="1">
      <alignment horizontal="left" vertical="center" wrapText="1"/>
    </xf>
    <xf numFmtId="0" fontId="20" fillId="32" borderId="37" xfId="0" applyFont="1" applyFill="1" applyBorder="1" applyAlignment="1" applyProtection="1">
      <alignment horizontal="center"/>
    </xf>
    <xf numFmtId="0" fontId="0" fillId="32" borderId="29" xfId="0" applyFont="1" applyFill="1" applyBorder="1" applyAlignment="1" applyProtection="1">
      <alignment horizontal="center"/>
    </xf>
    <xf numFmtId="0" fontId="0" fillId="32" borderId="26" xfId="0" applyFont="1" applyFill="1" applyBorder="1" applyAlignment="1" applyProtection="1">
      <alignment horizontal="center"/>
    </xf>
    <xf numFmtId="0" fontId="6" fillId="32" borderId="0" xfId="0" applyFont="1" applyFill="1" applyAlignment="1" applyProtection="1">
      <alignment horizontal="center" vertical="center"/>
    </xf>
    <xf numFmtId="0" fontId="0" fillId="32" borderId="0" xfId="0" applyFill="1" applyAlignment="1" applyProtection="1">
      <alignment horizontal="center" vertical="center"/>
    </xf>
    <xf numFmtId="0" fontId="6" fillId="0" borderId="84" xfId="174" applyFont="1" applyBorder="1" applyAlignment="1" applyProtection="1">
      <alignment horizontal="center" vertical="center"/>
    </xf>
    <xf numFmtId="0" fontId="6" fillId="0" borderId="36" xfId="174" applyFont="1" applyBorder="1" applyAlignment="1" applyProtection="1">
      <alignment horizontal="center" vertical="center"/>
    </xf>
    <xf numFmtId="0" fontId="6" fillId="0" borderId="86" xfId="174" applyFont="1" applyBorder="1" applyAlignment="1" applyProtection="1">
      <alignment horizontal="center" vertical="center"/>
    </xf>
    <xf numFmtId="0" fontId="6" fillId="0" borderId="50" xfId="174" applyFont="1" applyBorder="1" applyAlignment="1" applyProtection="1">
      <alignment horizontal="center" vertical="center"/>
    </xf>
    <xf numFmtId="0" fontId="6" fillId="0" borderId="40" xfId="174" applyFont="1" applyBorder="1" applyAlignment="1" applyProtection="1">
      <alignment horizontal="center" vertical="center"/>
    </xf>
    <xf numFmtId="0" fontId="6" fillId="0" borderId="52" xfId="174" applyFont="1" applyBorder="1" applyAlignment="1" applyProtection="1">
      <alignment horizontal="center" vertical="center"/>
    </xf>
    <xf numFmtId="0" fontId="6" fillId="32" borderId="48" xfId="174" applyFont="1" applyFill="1" applyBorder="1" applyAlignment="1" applyProtection="1">
      <alignment horizontal="center" vertical="center" wrapText="1"/>
    </xf>
    <xf numFmtId="0" fontId="6" fillId="32" borderId="50" xfId="174" applyFont="1" applyFill="1" applyBorder="1" applyAlignment="1" applyProtection="1">
      <alignment horizontal="center" vertical="center" wrapText="1"/>
    </xf>
    <xf numFmtId="0" fontId="6" fillId="32" borderId="14" xfId="174" applyFont="1" applyFill="1" applyBorder="1" applyAlignment="1" applyProtection="1">
      <alignment horizontal="center" vertical="center" wrapText="1"/>
    </xf>
    <xf numFmtId="0" fontId="6" fillId="32" borderId="40" xfId="174" applyFont="1" applyFill="1" applyBorder="1" applyAlignment="1" applyProtection="1">
      <alignment horizontal="center" vertical="center" wrapText="1"/>
    </xf>
    <xf numFmtId="0" fontId="6" fillId="32" borderId="51" xfId="174" applyFont="1" applyFill="1" applyBorder="1" applyAlignment="1" applyProtection="1">
      <alignment horizontal="center" vertical="center" wrapText="1"/>
    </xf>
    <xf numFmtId="0" fontId="6" fillId="32" borderId="52" xfId="174" applyFont="1" applyFill="1" applyBorder="1" applyAlignment="1" applyProtection="1">
      <alignment horizontal="center" vertical="center" wrapText="1"/>
    </xf>
    <xf numFmtId="0" fontId="2" fillId="32" borderId="14" xfId="174" applyFont="1" applyFill="1" applyBorder="1" applyAlignment="1" applyProtection="1">
      <alignment horizontal="left" vertical="top" wrapText="1"/>
    </xf>
    <xf numFmtId="0" fontId="2" fillId="32" borderId="0" xfId="174" applyFont="1" applyFill="1" applyBorder="1" applyAlignment="1" applyProtection="1">
      <alignment horizontal="left" vertical="top" wrapText="1"/>
    </xf>
    <xf numFmtId="0" fontId="21" fillId="0" borderId="34" xfId="0" applyFont="1" applyBorder="1" applyAlignment="1" applyProtection="1">
      <alignment horizontal="center"/>
    </xf>
    <xf numFmtId="0" fontId="15" fillId="0" borderId="47" xfId="0" applyFont="1" applyBorder="1" applyAlignment="1" applyProtection="1">
      <alignment horizontal="center"/>
    </xf>
    <xf numFmtId="0" fontId="15" fillId="0" borderId="39" xfId="0" applyFont="1" applyBorder="1" applyAlignment="1" applyProtection="1">
      <alignment horizontal="center"/>
    </xf>
    <xf numFmtId="0" fontId="6" fillId="0" borderId="34" xfId="174" applyFont="1" applyBorder="1" applyAlignment="1" applyProtection="1">
      <alignment horizontal="center" vertical="top"/>
    </xf>
    <xf numFmtId="0" fontId="6" fillId="0" borderId="47" xfId="174" applyFont="1" applyBorder="1" applyAlignment="1" applyProtection="1">
      <alignment horizontal="center" vertical="top"/>
    </xf>
    <xf numFmtId="0" fontId="6" fillId="0" borderId="39" xfId="174" applyFont="1" applyBorder="1" applyAlignment="1" applyProtection="1">
      <alignment horizontal="center" vertical="top"/>
    </xf>
    <xf numFmtId="0" fontId="6" fillId="0" borderId="87" xfId="174" applyFont="1" applyBorder="1" applyAlignment="1" applyProtection="1">
      <alignment horizontal="center" vertical="center"/>
    </xf>
    <xf numFmtId="0" fontId="6" fillId="0" borderId="13" xfId="174" applyFont="1" applyBorder="1" applyAlignment="1" applyProtection="1">
      <alignment horizontal="center" vertical="center"/>
    </xf>
    <xf numFmtId="0" fontId="6" fillId="0" borderId="88" xfId="174" applyFont="1" applyBorder="1" applyAlignment="1" applyProtection="1">
      <alignment horizontal="center" vertical="center"/>
    </xf>
    <xf numFmtId="0" fontId="2" fillId="32" borderId="14" xfId="174" applyFont="1" applyFill="1" applyBorder="1" applyAlignment="1" applyProtection="1">
      <alignment horizontal="left" vertical="top"/>
    </xf>
    <xf numFmtId="0" fontId="2" fillId="32" borderId="0" xfId="174" applyFont="1" applyFill="1" applyBorder="1" applyAlignment="1" applyProtection="1">
      <alignment horizontal="left" vertical="top"/>
    </xf>
    <xf numFmtId="0" fontId="2" fillId="0" borderId="34" xfId="186" applyFont="1" applyFill="1" applyBorder="1" applyAlignment="1" applyProtection="1">
      <alignment horizontal="center"/>
    </xf>
    <xf numFmtId="0" fontId="2" fillId="0" borderId="47" xfId="186" applyFont="1" applyFill="1" applyBorder="1" applyAlignment="1" applyProtection="1">
      <alignment horizontal="center"/>
    </xf>
    <xf numFmtId="0" fontId="2" fillId="0" borderId="39" xfId="186" applyFont="1" applyFill="1" applyBorder="1" applyAlignment="1" applyProtection="1">
      <alignment horizontal="center"/>
    </xf>
  </cellXfs>
  <cellStyles count="194">
    <cellStyle name="_x000d__x000a_JournalTemplate=C:\COMFO\CTALK\JOURSTD.TPL_x000d__x000a_LbStateAddress=3 3 0 251 1 89 2 311_x000d__x000a_LbStateJou" xfId="1"/>
    <cellStyle name="Bad" xfId="2"/>
    <cellStyle name="Calculation" xfId="3"/>
    <cellStyle name="Check Cell" xfId="4"/>
    <cellStyle name="Comma 2" xfId="5"/>
    <cellStyle name="Euro" xfId="6"/>
    <cellStyle name="Explanatory Text" xfId="7"/>
    <cellStyle name="Good" xfId="8"/>
    <cellStyle name="Heading 1" xfId="9"/>
    <cellStyle name="Heading 2" xfId="10"/>
    <cellStyle name="Heading 3" xfId="11"/>
    <cellStyle name="Heading 4" xfId="12"/>
    <cellStyle name="Hyperlink" xfId="13" builtinId="8"/>
    <cellStyle name="Input" xfId="14"/>
    <cellStyle name="Komma 2" xfId="15"/>
    <cellStyle name="Komma 3" xfId="16"/>
    <cellStyle name="Linked Cell" xfId="17"/>
    <cellStyle name="Milliers 2" xfId="18"/>
    <cellStyle name="Milliers 5" xfId="19"/>
    <cellStyle name="Milliers 8" xfId="20"/>
    <cellStyle name="Neutral" xfId="21"/>
    <cellStyle name="Normal 10" xfId="22"/>
    <cellStyle name="Normal 13" xfId="23"/>
    <cellStyle name="Normal 14" xfId="24"/>
    <cellStyle name="Normal 15" xfId="25"/>
    <cellStyle name="Normal 16" xfId="26"/>
    <cellStyle name="Normal 17" xfId="27"/>
    <cellStyle name="Normal 18" xfId="28"/>
    <cellStyle name="Normal 19" xfId="29"/>
    <cellStyle name="Normal 2" xfId="30"/>
    <cellStyle name="Normal 2 11" xfId="31"/>
    <cellStyle name="Normal 2 12" xfId="32"/>
    <cellStyle name="Normal 2 13" xfId="33"/>
    <cellStyle name="Normal 2 2" xfId="34"/>
    <cellStyle name="Normal 2 2 2" xfId="35"/>
    <cellStyle name="Normal 20" xfId="36"/>
    <cellStyle name="Normal 21" xfId="37"/>
    <cellStyle name="Normal 22" xfId="38"/>
    <cellStyle name="Normal 23" xfId="39"/>
    <cellStyle name="Normal 24" xfId="40"/>
    <cellStyle name="Normal 25" xfId="41"/>
    <cellStyle name="Normal 26" xfId="42"/>
    <cellStyle name="Normal 27" xfId="43"/>
    <cellStyle name="Normal 28" xfId="44"/>
    <cellStyle name="Normal 29" xfId="45"/>
    <cellStyle name="Normal 3" xfId="46"/>
    <cellStyle name="Normal 3 2" xfId="47"/>
    <cellStyle name="Normal 3 3" xfId="48"/>
    <cellStyle name="Normal 30" xfId="49"/>
    <cellStyle name="Normal 31" xfId="50"/>
    <cellStyle name="Normal 32" xfId="51"/>
    <cellStyle name="Normal 33" xfId="52"/>
    <cellStyle name="Normal 34" xfId="53"/>
    <cellStyle name="Normal 35" xfId="54"/>
    <cellStyle name="Normal 36" xfId="55"/>
    <cellStyle name="Normal 37" xfId="56"/>
    <cellStyle name="Normal 38" xfId="57"/>
    <cellStyle name="Normal 39" xfId="58"/>
    <cellStyle name="Normal 4" xfId="59"/>
    <cellStyle name="Normal 40" xfId="60"/>
    <cellStyle name="Normal 41" xfId="61"/>
    <cellStyle name="Normal 42" xfId="62"/>
    <cellStyle name="Normal 43" xfId="63"/>
    <cellStyle name="Normal 44" xfId="64"/>
    <cellStyle name="Normal 45" xfId="65"/>
    <cellStyle name="Normal 46" xfId="66"/>
    <cellStyle name="Normal 47" xfId="67"/>
    <cellStyle name="Normal 48" xfId="68"/>
    <cellStyle name="Normal 49" xfId="69"/>
    <cellStyle name="Normal 50" xfId="70"/>
    <cellStyle name="Normal 51" xfId="71"/>
    <cellStyle name="Normal 52" xfId="72"/>
    <cellStyle name="Normal 53" xfId="73"/>
    <cellStyle name="Normal 54" xfId="74"/>
    <cellStyle name="Normal 56" xfId="75"/>
    <cellStyle name="Normal 57" xfId="76"/>
    <cellStyle name="Normal 58" xfId="77"/>
    <cellStyle name="Normal 59" xfId="78"/>
    <cellStyle name="Normal 60" xfId="79"/>
    <cellStyle name="Normal 61" xfId="80"/>
    <cellStyle name="Normal 62" xfId="81"/>
    <cellStyle name="Normal 63" xfId="82"/>
    <cellStyle name="Normal 64" xfId="83"/>
    <cellStyle name="Normal 65" xfId="84"/>
    <cellStyle name="Normal 66" xfId="85"/>
    <cellStyle name="Normal 67" xfId="86"/>
    <cellStyle name="Normal 68" xfId="87"/>
    <cellStyle name="Normal 69" xfId="88"/>
    <cellStyle name="Normal 70" xfId="89"/>
    <cellStyle name="Normal 71" xfId="90"/>
    <cellStyle name="Normal 72" xfId="91"/>
    <cellStyle name="Normal 73" xfId="92"/>
    <cellStyle name="Normal 74" xfId="93"/>
    <cellStyle name="Normal 75" xfId="94"/>
    <cellStyle name="Normal 76" xfId="95"/>
    <cellStyle name="Normal 77" xfId="96"/>
    <cellStyle name="Normal 78" xfId="97"/>
    <cellStyle name="Normal 79" xfId="98"/>
    <cellStyle name="Normal 80" xfId="99"/>
    <cellStyle name="Normal 81" xfId="100"/>
    <cellStyle name="Normal 82" xfId="101"/>
    <cellStyle name="Normal 83" xfId="102"/>
    <cellStyle name="Normal 84" xfId="103"/>
    <cellStyle name="Normal 85" xfId="104"/>
    <cellStyle name="Normal 86" xfId="105"/>
    <cellStyle name="Normal 87" xfId="106"/>
    <cellStyle name="Normal 88" xfId="107"/>
    <cellStyle name="Normal 89" xfId="108"/>
    <cellStyle name="Normal 9" xfId="109"/>
    <cellStyle name="Normal 90" xfId="110"/>
    <cellStyle name="Normal 91" xfId="111"/>
    <cellStyle name="Normal 92" xfId="112"/>
    <cellStyle name="Normal 93" xfId="113"/>
    <cellStyle name="Normal 94" xfId="114"/>
    <cellStyle name="Normal 95 2" xfId="115"/>
    <cellStyle name="Normal_IMEA" xfId="116"/>
    <cellStyle name="Note" xfId="117"/>
    <cellStyle name="Output" xfId="118"/>
    <cellStyle name="Percent 2" xfId="119"/>
    <cellStyle name="Pourcentage 2" xfId="120"/>
    <cellStyle name="Procent" xfId="121" builtinId="5"/>
    <cellStyle name="Procent 2" xfId="122"/>
    <cellStyle name="Procent 3" xfId="123"/>
    <cellStyle name="Procent 4" xfId="124"/>
    <cellStyle name="Procent 5" xfId="125"/>
    <cellStyle name="Procent 6" xfId="126"/>
    <cellStyle name="SAPBEXaggData" xfId="127"/>
    <cellStyle name="SAPBEXaggDataEmph" xfId="128"/>
    <cellStyle name="SAPBEXaggItem" xfId="129"/>
    <cellStyle name="SAPBEXaggItemX" xfId="130"/>
    <cellStyle name="SAPBEXchaText" xfId="131"/>
    <cellStyle name="SAPBEXchaText 2" xfId="132"/>
    <cellStyle name="SAPBEXexcBad7" xfId="133"/>
    <cellStyle name="SAPBEXexcBad8" xfId="134"/>
    <cellStyle name="SAPBEXexcBad9" xfId="135"/>
    <cellStyle name="SAPBEXexcCritical4" xfId="136"/>
    <cellStyle name="SAPBEXexcCritical5" xfId="137"/>
    <cellStyle name="SAPBEXexcCritical6" xfId="138"/>
    <cellStyle name="SAPBEXexcGood1" xfId="139"/>
    <cellStyle name="SAPBEXexcGood2" xfId="140"/>
    <cellStyle name="SAPBEXexcGood3" xfId="141"/>
    <cellStyle name="SAPBEXfilterDrill" xfId="142"/>
    <cellStyle name="SAPBEXfilterItem" xfId="143"/>
    <cellStyle name="SAPBEXfilterText" xfId="144"/>
    <cellStyle name="SAPBEXformats" xfId="145"/>
    <cellStyle name="SAPBEXheaderItem" xfId="146"/>
    <cellStyle name="SAPBEXheaderText" xfId="147"/>
    <cellStyle name="SAPBEXHLevel0" xfId="148"/>
    <cellStyle name="SAPBEXHLevel0X" xfId="149"/>
    <cellStyle name="SAPBEXHLevel1" xfId="150"/>
    <cellStyle name="SAPBEXHLevel1X" xfId="151"/>
    <cellStyle name="SAPBEXHLevel2" xfId="152"/>
    <cellStyle name="SAPBEXHLevel2X" xfId="153"/>
    <cellStyle name="SAPBEXHLevel3" xfId="154"/>
    <cellStyle name="SAPBEXHLevel3X" xfId="155"/>
    <cellStyle name="SAPBEXinputData" xfId="156"/>
    <cellStyle name="SAPBEXresData" xfId="157"/>
    <cellStyle name="SAPBEXresDataEmph" xfId="158"/>
    <cellStyle name="SAPBEXresItem" xfId="159"/>
    <cellStyle name="SAPBEXresItemX" xfId="160"/>
    <cellStyle name="SAPBEXstdData" xfId="161"/>
    <cellStyle name="SAPBEXstdDataEmph" xfId="162"/>
    <cellStyle name="SAPBEXstdItem" xfId="163"/>
    <cellStyle name="SAPBEXstdItem 2" xfId="164"/>
    <cellStyle name="SAPBEXstdItemX" xfId="165"/>
    <cellStyle name="SAPBEXtitle" xfId="166"/>
    <cellStyle name="SAPBEXundefined" xfId="167"/>
    <cellStyle name="Sheet Title" xfId="168"/>
    <cellStyle name="Standaard" xfId="0" builtinId="0"/>
    <cellStyle name="Standaard 2" xfId="169"/>
    <cellStyle name="Standaard 2 2" xfId="170"/>
    <cellStyle name="Standaard 2 3" xfId="171"/>
    <cellStyle name="Standaard 2 4" xfId="172"/>
    <cellStyle name="Standaard 2_B2009_doorvervoer ELEK_MATRIX_versie DEF" xfId="173"/>
    <cellStyle name="Standaard 3" xfId="174"/>
    <cellStyle name="Standaard 3 2" xfId="175"/>
    <cellStyle name="Standaard 3 3" xfId="176"/>
    <cellStyle name="Standaard 4" xfId="177"/>
    <cellStyle name="Standaard 4 2" xfId="178"/>
    <cellStyle name="Standaard 4_B2009_doorvervoer ELEK_MATRIX_versie DEF" xfId="179"/>
    <cellStyle name="Standaard 5" xfId="180"/>
    <cellStyle name="Standaard 6" xfId="181"/>
    <cellStyle name="Standaard 7" xfId="182"/>
    <cellStyle name="Standaard 7 2" xfId="183"/>
    <cellStyle name="Standaard 8" xfId="184"/>
    <cellStyle name="Standaard_20100727 Rekenmodel NE5R v1.9" xfId="185"/>
    <cellStyle name="Standaard_Balans IL-Glob. PLAU" xfId="186"/>
    <cellStyle name="Standaard_Balans IL-Glob. PLAU 2" xfId="187"/>
    <cellStyle name="Stijl 1" xfId="188"/>
    <cellStyle name="Style 1" xfId="189"/>
    <cellStyle name="Title" xfId="190"/>
    <cellStyle name="Total" xfId="191"/>
    <cellStyle name="Valuta 2" xfId="192"/>
    <cellStyle name="Warning Text" xfId="193"/>
  </cellStyles>
  <dxfs count="10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xdr:colOff>
      <xdr:row>33</xdr:row>
      <xdr:rowOff>9525</xdr:rowOff>
    </xdr:from>
    <xdr:to>
      <xdr:col>12</xdr:col>
      <xdr:colOff>180975</xdr:colOff>
      <xdr:row>39</xdr:row>
      <xdr:rowOff>38100</xdr:rowOff>
    </xdr:to>
    <xdr:sp macro="" textlink="">
      <xdr:nvSpPr>
        <xdr:cNvPr id="47254" name="AutoShape 2">
          <a:extLst>
            <a:ext uri="{FF2B5EF4-FFF2-40B4-BE49-F238E27FC236}">
              <a16:creationId xmlns:a16="http://schemas.microsoft.com/office/drawing/2014/main" id="{29286435-CF18-413D-B605-60ECEF42A1D4}"/>
            </a:ext>
          </a:extLst>
        </xdr:cNvPr>
        <xdr:cNvSpPr>
          <a:spLocks/>
        </xdr:cNvSpPr>
      </xdr:nvSpPr>
      <xdr:spPr bwMode="auto">
        <a:xfrm>
          <a:off x="12058650" y="6124575"/>
          <a:ext cx="161925" cy="1000125"/>
        </a:xfrm>
        <a:prstGeom prst="rightBrace">
          <a:avLst>
            <a:gd name="adj1" fmla="val 1856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33</xdr:row>
      <xdr:rowOff>9525</xdr:rowOff>
    </xdr:from>
    <xdr:to>
      <xdr:col>12</xdr:col>
      <xdr:colOff>180975</xdr:colOff>
      <xdr:row>39</xdr:row>
      <xdr:rowOff>38100</xdr:rowOff>
    </xdr:to>
    <xdr:sp macro="" textlink="">
      <xdr:nvSpPr>
        <xdr:cNvPr id="36226" name="AutoShape 2">
          <a:extLst>
            <a:ext uri="{FF2B5EF4-FFF2-40B4-BE49-F238E27FC236}">
              <a16:creationId xmlns:a16="http://schemas.microsoft.com/office/drawing/2014/main" id="{C12AC74D-D8F4-47A0-9DD4-7A0A922EB19A}"/>
            </a:ext>
          </a:extLst>
        </xdr:cNvPr>
        <xdr:cNvSpPr>
          <a:spLocks/>
        </xdr:cNvSpPr>
      </xdr:nvSpPr>
      <xdr:spPr bwMode="auto">
        <a:xfrm>
          <a:off x="19859625" y="6276975"/>
          <a:ext cx="161925" cy="1000125"/>
        </a:xfrm>
        <a:prstGeom prst="rightBrace">
          <a:avLst>
            <a:gd name="adj1" fmla="val 1856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xdr:colOff>
      <xdr:row>63</xdr:row>
      <xdr:rowOff>9525</xdr:rowOff>
    </xdr:from>
    <xdr:to>
      <xdr:col>12</xdr:col>
      <xdr:colOff>180975</xdr:colOff>
      <xdr:row>69</xdr:row>
      <xdr:rowOff>38100</xdr:rowOff>
    </xdr:to>
    <xdr:sp macro="" textlink="">
      <xdr:nvSpPr>
        <xdr:cNvPr id="48278" name="AutoShape 2">
          <a:extLst>
            <a:ext uri="{FF2B5EF4-FFF2-40B4-BE49-F238E27FC236}">
              <a16:creationId xmlns:a16="http://schemas.microsoft.com/office/drawing/2014/main" id="{262EECD2-220A-4FE4-B017-619C16A3C7C0}"/>
            </a:ext>
          </a:extLst>
        </xdr:cNvPr>
        <xdr:cNvSpPr>
          <a:spLocks/>
        </xdr:cNvSpPr>
      </xdr:nvSpPr>
      <xdr:spPr bwMode="auto">
        <a:xfrm>
          <a:off x="12811125" y="20021550"/>
          <a:ext cx="161925" cy="1000125"/>
        </a:xfrm>
        <a:prstGeom prst="rightBrace">
          <a:avLst>
            <a:gd name="adj1" fmla="val 19098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19050</xdr:colOff>
      <xdr:row>85</xdr:row>
      <xdr:rowOff>9525</xdr:rowOff>
    </xdr:from>
    <xdr:to>
      <xdr:col>10</xdr:col>
      <xdr:colOff>180975</xdr:colOff>
      <xdr:row>89</xdr:row>
      <xdr:rowOff>38100</xdr:rowOff>
    </xdr:to>
    <xdr:sp macro="" textlink="">
      <xdr:nvSpPr>
        <xdr:cNvPr id="39288" name="AutoShape 2">
          <a:extLst>
            <a:ext uri="{FF2B5EF4-FFF2-40B4-BE49-F238E27FC236}">
              <a16:creationId xmlns:a16="http://schemas.microsoft.com/office/drawing/2014/main" id="{6493A4A7-2CF1-4C69-90B0-C290086BEC5A}"/>
            </a:ext>
          </a:extLst>
        </xdr:cNvPr>
        <xdr:cNvSpPr>
          <a:spLocks/>
        </xdr:cNvSpPr>
      </xdr:nvSpPr>
      <xdr:spPr bwMode="auto">
        <a:xfrm>
          <a:off x="10515600" y="26127075"/>
          <a:ext cx="161925" cy="676275"/>
        </a:xfrm>
        <a:prstGeom prst="rightBrace">
          <a:avLst>
            <a:gd name="adj1" fmla="val 1291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xdr:colOff>
      <xdr:row>29</xdr:row>
      <xdr:rowOff>9525</xdr:rowOff>
    </xdr:from>
    <xdr:to>
      <xdr:col>10</xdr:col>
      <xdr:colOff>180975</xdr:colOff>
      <xdr:row>33</xdr:row>
      <xdr:rowOff>38100</xdr:rowOff>
    </xdr:to>
    <xdr:sp macro="" textlink="">
      <xdr:nvSpPr>
        <xdr:cNvPr id="42340" name="AutoShape 2">
          <a:extLst>
            <a:ext uri="{FF2B5EF4-FFF2-40B4-BE49-F238E27FC236}">
              <a16:creationId xmlns:a16="http://schemas.microsoft.com/office/drawing/2014/main" id="{611A36E6-7A7A-4918-9601-5B46D5C48ECF}"/>
            </a:ext>
          </a:extLst>
        </xdr:cNvPr>
        <xdr:cNvSpPr>
          <a:spLocks/>
        </xdr:cNvSpPr>
      </xdr:nvSpPr>
      <xdr:spPr bwMode="auto">
        <a:xfrm>
          <a:off x="16506825" y="5334000"/>
          <a:ext cx="161925" cy="676275"/>
        </a:xfrm>
        <a:prstGeom prst="rightBrace">
          <a:avLst>
            <a:gd name="adj1" fmla="val 1291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reg.be/F/Centers/OP/OP_EV/CREG/Dossier%202007/Nacalculatie/Nacalc20080215/Documents%20and%20Settings/htulpinck/Local%20Settings/Temporary%20Internet%20Files/OLK39B/Tariefvoorstel%20aansluitingen%20200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enters\OP\OP_EV\CREG\Dossier%202007\Nacalculatie\Nacalc20080215\Documents%20and%20Settings\htulpinck\Local%20Settings\Temporary%20Internet%20Files\OLK39B\Tariefvoorstel%20aansluitingen%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reg.be/WINNT/Profiles/gck162/Temporary%20Internet%20Files/OLK262/Comparaison%20Article%2018%20par%20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efreshError="1">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refreshError="1"/>
      <sheetData sheetId="1" refreshError="1"/>
      <sheetData sheetId="2" refreshError="1">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V130"/>
  <sheetViews>
    <sheetView showGridLines="0" tabSelected="1" zoomScaleNormal="100" workbookViewId="0">
      <selection activeCell="B2" sqref="B2"/>
    </sheetView>
  </sheetViews>
  <sheetFormatPr defaultColWidth="8.81640625" defaultRowHeight="12.5" x14ac:dyDescent="0.25"/>
  <cols>
    <col min="1" max="1" width="10.7265625" style="8" bestFit="1" customWidth="1"/>
    <col min="2" max="2" width="36.26953125" style="8" customWidth="1"/>
    <col min="3" max="3" width="11.54296875" style="8" customWidth="1"/>
    <col min="4" max="4" width="14" style="8" customWidth="1"/>
    <col min="5" max="6" width="8.81640625" style="8"/>
    <col min="7" max="7" width="10.7265625" style="8" bestFit="1" customWidth="1"/>
    <col min="8" max="14" width="8.81640625" style="8"/>
    <col min="15" max="15" width="10.1796875" style="8" bestFit="1" customWidth="1"/>
    <col min="16" max="16" width="8.81640625" style="8"/>
    <col min="17" max="17" width="31.7265625" style="8" customWidth="1"/>
    <col min="18" max="16384" width="8.81640625" style="8"/>
  </cols>
  <sheetData>
    <row r="1" spans="1:15" ht="13" x14ac:dyDescent="0.3">
      <c r="B1" s="9"/>
      <c r="C1" s="10"/>
      <c r="O1" s="446"/>
    </row>
    <row r="2" spans="1:15" ht="25" x14ac:dyDescent="0.5">
      <c r="A2" s="11"/>
      <c r="B2" s="12" t="s">
        <v>25</v>
      </c>
      <c r="C2" s="13"/>
      <c r="D2" s="13"/>
      <c r="E2" s="13"/>
      <c r="F2" s="11"/>
      <c r="G2" s="11"/>
      <c r="H2" s="11"/>
      <c r="I2" s="11"/>
      <c r="J2" s="11"/>
      <c r="K2" s="11"/>
      <c r="L2" s="11"/>
      <c r="M2" s="11"/>
      <c r="O2" s="892">
        <v>42986</v>
      </c>
    </row>
    <row r="3" spans="1:15" ht="13" x14ac:dyDescent="0.3">
      <c r="B3" s="9"/>
      <c r="C3" s="10"/>
    </row>
    <row r="4" spans="1:15" ht="13" x14ac:dyDescent="0.3">
      <c r="B4" s="9"/>
      <c r="C4" s="10"/>
    </row>
    <row r="5" spans="1:15" ht="13" x14ac:dyDescent="0.3">
      <c r="B5" s="9"/>
      <c r="C5" s="14"/>
    </row>
    <row r="6" spans="1:15" ht="13.5" thickBot="1" x14ac:dyDescent="0.35">
      <c r="B6" s="9"/>
      <c r="C6" s="10"/>
    </row>
    <row r="7" spans="1:15" ht="13.5" thickBot="1" x14ac:dyDescent="0.35">
      <c r="B7" s="9" t="s">
        <v>17</v>
      </c>
      <c r="C7" s="961" t="s">
        <v>223</v>
      </c>
      <c r="D7" s="962"/>
      <c r="E7" s="962"/>
      <c r="F7" s="963"/>
    </row>
    <row r="8" spans="1:15" ht="13.5" thickBot="1" x14ac:dyDescent="0.35">
      <c r="B8" s="9" t="s">
        <v>18</v>
      </c>
      <c r="C8" s="961"/>
      <c r="D8" s="962"/>
      <c r="E8" s="962"/>
      <c r="F8" s="963"/>
    </row>
    <row r="9" spans="1:15" ht="13.5" thickBot="1" x14ac:dyDescent="0.35">
      <c r="B9" s="9" t="s">
        <v>146</v>
      </c>
      <c r="C9" s="961"/>
      <c r="D9" s="962"/>
      <c r="E9" s="962"/>
      <c r="F9" s="963"/>
    </row>
    <row r="10" spans="1:15" ht="13.5" thickBot="1" x14ac:dyDescent="0.35">
      <c r="B10" s="9" t="s">
        <v>19</v>
      </c>
      <c r="C10" s="961"/>
      <c r="D10" s="962"/>
      <c r="E10" s="962"/>
      <c r="F10" s="963"/>
    </row>
    <row r="11" spans="1:15" s="15" customFormat="1" ht="13.5" thickBot="1" x14ac:dyDescent="0.35">
      <c r="B11" s="16"/>
      <c r="C11" s="17"/>
      <c r="D11" s="17"/>
      <c r="E11" s="17"/>
      <c r="F11" s="17"/>
    </row>
    <row r="12" spans="1:15" ht="13.5" thickBot="1" x14ac:dyDescent="0.35">
      <c r="B12" s="9" t="s">
        <v>20</v>
      </c>
      <c r="C12" s="964" t="s">
        <v>372</v>
      </c>
      <c r="D12" s="965"/>
      <c r="E12" s="965"/>
      <c r="F12" s="966"/>
    </row>
    <row r="13" spans="1:15" ht="13" x14ac:dyDescent="0.3">
      <c r="B13" s="9"/>
      <c r="C13" s="10"/>
    </row>
    <row r="14" spans="1:15" ht="13.5" thickBot="1" x14ac:dyDescent="0.35">
      <c r="B14" s="9"/>
      <c r="C14" s="10"/>
    </row>
    <row r="15" spans="1:15" ht="13.5" thickBot="1" x14ac:dyDescent="0.35">
      <c r="B15" s="18" t="s">
        <v>21</v>
      </c>
      <c r="C15" s="9"/>
      <c r="D15" s="18" t="s">
        <v>22</v>
      </c>
      <c r="E15" s="607">
        <v>2017</v>
      </c>
    </row>
    <row r="16" spans="1:15" ht="13.5" thickBot="1" x14ac:dyDescent="0.35">
      <c r="B16" s="18"/>
      <c r="C16" s="9"/>
      <c r="D16" s="18" t="s">
        <v>23</v>
      </c>
      <c r="E16" s="607">
        <v>2020</v>
      </c>
    </row>
    <row r="17" spans="1:16" ht="13.5" thickBot="1" x14ac:dyDescent="0.35">
      <c r="B17" s="19"/>
      <c r="C17" s="10"/>
    </row>
    <row r="18" spans="1:16" s="20" customFormat="1" ht="13.5" thickBot="1" x14ac:dyDescent="0.35">
      <c r="B18" s="18" t="s">
        <v>198</v>
      </c>
      <c r="E18" s="608">
        <v>2019</v>
      </c>
      <c r="F18" s="609" t="s">
        <v>190</v>
      </c>
      <c r="G18" s="21"/>
      <c r="H18" s="21"/>
      <c r="I18" s="21"/>
      <c r="J18" s="21"/>
      <c r="K18" s="21"/>
      <c r="L18" s="21"/>
      <c r="M18" s="21"/>
      <c r="N18" s="21"/>
      <c r="O18" s="21"/>
      <c r="P18" s="21"/>
    </row>
    <row r="19" spans="1:16" ht="13" x14ac:dyDescent="0.3">
      <c r="B19" s="22"/>
      <c r="C19" s="23"/>
    </row>
    <row r="21" spans="1:16" ht="13" x14ac:dyDescent="0.3">
      <c r="A21" s="958" t="s">
        <v>53</v>
      </c>
      <c r="B21" s="959"/>
      <c r="C21" s="959"/>
      <c r="D21" s="959"/>
      <c r="E21" s="959"/>
      <c r="F21" s="959"/>
      <c r="G21" s="959"/>
      <c r="H21" s="959"/>
      <c r="I21" s="960"/>
    </row>
    <row r="22" spans="1:16" ht="14" x14ac:dyDescent="0.3">
      <c r="A22" s="24"/>
    </row>
    <row r="23" spans="1:16" x14ac:dyDescent="0.25">
      <c r="A23" s="25" t="s">
        <v>24</v>
      </c>
    </row>
    <row r="24" spans="1:16" x14ac:dyDescent="0.25">
      <c r="A24" s="31" t="s">
        <v>199</v>
      </c>
    </row>
    <row r="25" spans="1:16" x14ac:dyDescent="0.25">
      <c r="A25" s="25" t="s">
        <v>52</v>
      </c>
    </row>
    <row r="26" spans="1:16" x14ac:dyDescent="0.25">
      <c r="A26" s="26" t="s">
        <v>54</v>
      </c>
    </row>
    <row r="27" spans="1:16" x14ac:dyDescent="0.25">
      <c r="A27" s="42" t="s">
        <v>298</v>
      </c>
    </row>
    <row r="28" spans="1:16" x14ac:dyDescent="0.25">
      <c r="A28" s="26"/>
    </row>
    <row r="29" spans="1:16" s="26" customFormat="1" x14ac:dyDescent="0.25">
      <c r="A29" s="27" t="s">
        <v>200</v>
      </c>
    </row>
    <row r="30" spans="1:16" s="26" customFormat="1" x14ac:dyDescent="0.25"/>
    <row r="31" spans="1:16" s="26" customFormat="1" ht="13" x14ac:dyDescent="0.3">
      <c r="A31" s="27" t="s">
        <v>201</v>
      </c>
    </row>
    <row r="32" spans="1:16" s="26" customFormat="1" x14ac:dyDescent="0.25">
      <c r="A32" s="27" t="s">
        <v>70</v>
      </c>
    </row>
    <row r="33" spans="1:12" s="26" customFormat="1" ht="13" x14ac:dyDescent="0.3">
      <c r="A33" s="27" t="s">
        <v>299</v>
      </c>
    </row>
    <row r="34" spans="1:12" s="26" customFormat="1" x14ac:dyDescent="0.25"/>
    <row r="35" spans="1:12" ht="13" x14ac:dyDescent="0.3">
      <c r="A35" s="958" t="s">
        <v>55</v>
      </c>
      <c r="B35" s="959"/>
      <c r="C35" s="959"/>
      <c r="D35" s="959"/>
      <c r="E35" s="959"/>
      <c r="F35" s="959"/>
      <c r="G35" s="959"/>
      <c r="H35" s="959"/>
      <c r="I35" s="960"/>
    </row>
    <row r="36" spans="1:12" s="25" customFormat="1" x14ac:dyDescent="0.25">
      <c r="A36" s="28"/>
      <c r="B36" s="28"/>
      <c r="C36" s="8"/>
      <c r="D36" s="8"/>
      <c r="E36" s="8"/>
      <c r="F36" s="8"/>
      <c r="G36" s="8"/>
      <c r="H36" s="8"/>
      <c r="I36" s="8"/>
      <c r="J36" s="8"/>
      <c r="K36" s="8"/>
      <c r="L36" s="8"/>
    </row>
    <row r="37" spans="1:12" x14ac:dyDescent="0.25">
      <c r="A37" s="28"/>
      <c r="B37" s="29"/>
      <c r="C37" s="30"/>
      <c r="D37" s="31" t="s">
        <v>124</v>
      </c>
      <c r="E37" s="30"/>
      <c r="F37" s="30"/>
      <c r="G37" s="30"/>
      <c r="H37" s="30"/>
      <c r="I37" s="30"/>
      <c r="J37" s="30"/>
    </row>
    <row r="38" spans="1:12" x14ac:dyDescent="0.25">
      <c r="A38" s="28"/>
      <c r="B38" s="32"/>
      <c r="C38" s="30"/>
      <c r="D38" s="31"/>
      <c r="E38" s="30"/>
      <c r="F38" s="30"/>
      <c r="G38" s="30"/>
      <c r="H38" s="30"/>
      <c r="I38" s="30"/>
      <c r="J38" s="30"/>
    </row>
    <row r="39" spans="1:12" ht="15" customHeight="1" x14ac:dyDescent="0.25">
      <c r="A39" s="28"/>
      <c r="B39" s="33"/>
      <c r="C39" s="34"/>
      <c r="D39" s="31" t="s">
        <v>61</v>
      </c>
      <c r="E39" s="35"/>
      <c r="F39" s="35"/>
      <c r="G39" s="35"/>
      <c r="H39" s="30"/>
      <c r="I39" s="30"/>
      <c r="J39" s="30"/>
    </row>
    <row r="40" spans="1:12" x14ac:dyDescent="0.25">
      <c r="A40" s="28"/>
      <c r="B40" s="36"/>
      <c r="C40" s="30"/>
      <c r="D40" s="31"/>
      <c r="E40" s="30"/>
      <c r="F40" s="30"/>
      <c r="G40" s="30"/>
      <c r="H40" s="30"/>
      <c r="I40" s="30"/>
      <c r="J40" s="30"/>
    </row>
    <row r="41" spans="1:12" x14ac:dyDescent="0.25">
      <c r="A41" s="28"/>
      <c r="B41" s="37"/>
      <c r="C41" s="30"/>
      <c r="D41" s="31" t="s">
        <v>125</v>
      </c>
      <c r="E41" s="30"/>
      <c r="F41" s="30"/>
      <c r="G41" s="30"/>
      <c r="H41" s="30"/>
      <c r="I41" s="30"/>
      <c r="J41" s="30"/>
    </row>
    <row r="42" spans="1:12" x14ac:dyDescent="0.25">
      <c r="A42" s="28"/>
      <c r="B42" s="38"/>
      <c r="C42" s="30"/>
      <c r="D42" s="31"/>
      <c r="E42" s="30"/>
      <c r="F42" s="30"/>
      <c r="G42" s="30"/>
      <c r="H42" s="30"/>
      <c r="I42" s="30"/>
      <c r="J42" s="30"/>
    </row>
    <row r="43" spans="1:12" ht="12.75" customHeight="1" x14ac:dyDescent="0.25">
      <c r="A43" s="28"/>
      <c r="B43" s="39"/>
      <c r="C43" s="30"/>
      <c r="D43" s="31" t="s">
        <v>126</v>
      </c>
      <c r="E43" s="40"/>
      <c r="F43" s="40"/>
      <c r="G43" s="40"/>
      <c r="H43" s="40"/>
      <c r="I43" s="40"/>
      <c r="J43" s="40"/>
      <c r="K43" s="41"/>
    </row>
    <row r="44" spans="1:12" x14ac:dyDescent="0.25">
      <c r="A44" s="28"/>
      <c r="B44" s="28"/>
      <c r="D44" s="41"/>
      <c r="E44" s="41"/>
      <c r="F44" s="41"/>
      <c r="G44" s="41"/>
      <c r="H44" s="41"/>
      <c r="I44" s="41"/>
      <c r="J44" s="41"/>
      <c r="K44" s="41"/>
    </row>
    <row r="45" spans="1:12" x14ac:dyDescent="0.25">
      <c r="A45" s="28"/>
      <c r="B45" s="28"/>
      <c r="D45" s="42"/>
    </row>
    <row r="46" spans="1:12" x14ac:dyDescent="0.25">
      <c r="A46" s="28"/>
      <c r="B46" s="28"/>
      <c r="D46" s="42"/>
    </row>
    <row r="47" spans="1:12" ht="13" x14ac:dyDescent="0.3">
      <c r="A47" s="958" t="s">
        <v>69</v>
      </c>
      <c r="B47" s="959"/>
      <c r="C47" s="959"/>
      <c r="D47" s="959"/>
      <c r="E47" s="959"/>
      <c r="F47" s="959"/>
      <c r="G47" s="959"/>
      <c r="H47" s="959"/>
      <c r="I47" s="960"/>
    </row>
    <row r="48" spans="1:12" s="15" customFormat="1" ht="13" x14ac:dyDescent="0.3">
      <c r="A48" s="797"/>
    </row>
    <row r="49" spans="1:9" s="15" customFormat="1" x14ac:dyDescent="0.25">
      <c r="A49" s="6" t="s">
        <v>127</v>
      </c>
      <c r="B49" s="6"/>
    </row>
    <row r="50" spans="1:9" s="15" customFormat="1" ht="60.75" customHeight="1" x14ac:dyDescent="0.25">
      <c r="A50" s="968" t="s">
        <v>300</v>
      </c>
      <c r="B50" s="968"/>
      <c r="C50" s="968"/>
      <c r="D50" s="968"/>
      <c r="E50" s="968"/>
      <c r="F50" s="968"/>
      <c r="G50" s="968"/>
      <c r="H50" s="968"/>
      <c r="I50" s="968"/>
    </row>
    <row r="51" spans="1:9" s="15" customFormat="1" x14ac:dyDescent="0.25">
      <c r="A51" s="605"/>
    </row>
    <row r="52" spans="1:9" s="15" customFormat="1" x14ac:dyDescent="0.25">
      <c r="A52" s="825" t="str">
        <f>+'T1'!A1:L1</f>
        <v xml:space="preserve"> TABEL 1: Resultatenrekening (algemene boekhouding) voor boekjaar 2019 (waarden boekhouding)</v>
      </c>
      <c r="B52" s="825"/>
      <c r="C52" s="825"/>
      <c r="D52" s="825"/>
      <c r="E52" s="825"/>
      <c r="F52" s="825"/>
      <c r="G52" s="6"/>
    </row>
    <row r="53" spans="1:9" s="15" customFormat="1" ht="84.75" customHeight="1" x14ac:dyDescent="0.25">
      <c r="A53" s="968" t="s">
        <v>334</v>
      </c>
      <c r="B53" s="968"/>
      <c r="C53" s="968"/>
      <c r="D53" s="968"/>
      <c r="E53" s="968"/>
      <c r="F53" s="968"/>
      <c r="G53" s="968"/>
      <c r="H53" s="968"/>
      <c r="I53" s="968"/>
    </row>
    <row r="54" spans="1:9" s="15" customFormat="1" ht="14" x14ac:dyDescent="0.3">
      <c r="A54" s="798"/>
      <c r="B54" s="799"/>
      <c r="C54" s="799"/>
      <c r="D54" s="800"/>
      <c r="E54" s="799"/>
    </row>
    <row r="55" spans="1:9" s="15" customFormat="1" x14ac:dyDescent="0.25">
      <c r="A55" s="825" t="str">
        <f>+'T2'!A1:H1</f>
        <v>TABEL 2: Algemeen overzicht</v>
      </c>
      <c r="B55" s="825"/>
    </row>
    <row r="56" spans="1:9" s="15" customFormat="1" ht="57" customHeight="1" x14ac:dyDescent="0.25">
      <c r="A56" s="968" t="s">
        <v>347</v>
      </c>
      <c r="B56" s="968"/>
      <c r="C56" s="968"/>
      <c r="D56" s="968"/>
      <c r="E56" s="968"/>
      <c r="F56" s="968"/>
      <c r="G56" s="968"/>
      <c r="H56" s="968"/>
      <c r="I56" s="968"/>
    </row>
    <row r="57" spans="1:9" s="15" customFormat="1" x14ac:dyDescent="0.25">
      <c r="A57" s="605"/>
    </row>
    <row r="58" spans="1:9" s="15" customFormat="1" x14ac:dyDescent="0.25">
      <c r="A58" s="825" t="str">
        <f>+T3A!A1:G1</f>
        <v>TABEL 3A: Overzicht exogene kosten (gebudgetteerde waarden)</v>
      </c>
      <c r="B58" s="825"/>
      <c r="C58" s="825"/>
    </row>
    <row r="59" spans="1:9" s="15" customFormat="1" ht="51.75" customHeight="1" x14ac:dyDescent="0.25">
      <c r="A59" s="968" t="s">
        <v>302</v>
      </c>
      <c r="B59" s="968"/>
      <c r="C59" s="968"/>
      <c r="D59" s="968"/>
      <c r="E59" s="968"/>
      <c r="F59" s="968"/>
      <c r="G59" s="968"/>
      <c r="H59" s="968"/>
      <c r="I59" s="968"/>
    </row>
    <row r="60" spans="1:9" s="15" customFormat="1" x14ac:dyDescent="0.25">
      <c r="A60" s="6"/>
      <c r="B60" s="6"/>
      <c r="C60" s="6"/>
    </row>
    <row r="61" spans="1:9" s="15" customFormat="1" x14ac:dyDescent="0.25">
      <c r="A61" s="825" t="str">
        <f>+T3B!A1:G1</f>
        <v>TABEL 3B: Bepaling regulatoir saldo inzake exogene kosten (werkelijke waarden)</v>
      </c>
      <c r="B61" s="825"/>
      <c r="C61" s="825"/>
      <c r="D61" s="6"/>
    </row>
    <row r="62" spans="1:9" s="15" customFormat="1" ht="48.75" customHeight="1" x14ac:dyDescent="0.25">
      <c r="A62" s="968" t="s">
        <v>312</v>
      </c>
      <c r="B62" s="968"/>
      <c r="C62" s="968"/>
      <c r="D62" s="968"/>
      <c r="E62" s="968"/>
      <c r="F62" s="968"/>
      <c r="G62" s="968"/>
      <c r="H62" s="968"/>
      <c r="I62" s="968"/>
    </row>
    <row r="63" spans="1:9" s="15" customFormat="1" x14ac:dyDescent="0.25">
      <c r="A63" s="605"/>
    </row>
    <row r="64" spans="1:9" s="15" customFormat="1" x14ac:dyDescent="0.25">
      <c r="A64" s="825" t="str">
        <f>+T4A!A1:H1</f>
        <v xml:space="preserve">TABEL 4A: Opvolging regulatoir saldo inzake exogene kosten m.b.t. distributienettarieven </v>
      </c>
      <c r="B64" s="825"/>
      <c r="C64" s="825"/>
      <c r="D64" s="825"/>
      <c r="E64" s="825"/>
      <c r="F64"/>
      <c r="G64"/>
      <c r="H64"/>
    </row>
    <row r="65" spans="1:17" s="15" customFormat="1" ht="58.5" customHeight="1" x14ac:dyDescent="0.25">
      <c r="A65" s="968" t="s">
        <v>303</v>
      </c>
      <c r="B65" s="968"/>
      <c r="C65" s="968"/>
      <c r="D65" s="968"/>
      <c r="E65" s="968"/>
      <c r="F65" s="968"/>
      <c r="G65" s="968"/>
      <c r="H65" s="968"/>
      <c r="I65" s="968"/>
    </row>
    <row r="66" spans="1:17" s="15" customFormat="1" x14ac:dyDescent="0.25">
      <c r="A66" s="605"/>
    </row>
    <row r="67" spans="1:17" s="15" customFormat="1" x14ac:dyDescent="0.25">
      <c r="A67" s="825" t="str">
        <f>+T4B!A1:J1</f>
        <v>TABEL 4B: Overzicht regulatoir saldo inzake exogene kosten m.b.t. distributienettarieven per tariefcomponent</v>
      </c>
      <c r="B67" s="825"/>
      <c r="C67" s="825"/>
      <c r="D67" s="825"/>
      <c r="E67" s="825"/>
      <c r="F67" s="825"/>
      <c r="G67" s="825"/>
      <c r="H67" s="801"/>
    </row>
    <row r="68" spans="1:17" s="15" customFormat="1" ht="76.5" customHeight="1" x14ac:dyDescent="0.25">
      <c r="A68" s="968" t="s">
        <v>365</v>
      </c>
      <c r="B68" s="968"/>
      <c r="C68" s="968"/>
      <c r="D68" s="968"/>
      <c r="E68" s="968"/>
      <c r="F68" s="968"/>
      <c r="G68" s="968"/>
      <c r="H68" s="968"/>
      <c r="I68" s="968"/>
    </row>
    <row r="69" spans="1:17" s="15" customFormat="1" ht="14.25" customHeight="1" x14ac:dyDescent="0.25">
      <c r="A69" s="802"/>
      <c r="B69" s="786"/>
      <c r="C69" s="786"/>
      <c r="D69" s="786"/>
      <c r="E69" s="786"/>
      <c r="F69" s="786"/>
      <c r="G69" s="786"/>
      <c r="H69" s="786"/>
      <c r="I69" s="786"/>
    </row>
    <row r="70" spans="1:17" s="15" customFormat="1" x14ac:dyDescent="0.25">
      <c r="A70" s="825" t="str">
        <f>+T4C!A1:J1</f>
        <v>TABEL 4C: Opvolging regulatoir saldo inzake exogene kosten m.b.t. transmissienettarieven (exclusief federale bijdrage elektriciteit)</v>
      </c>
      <c r="B70" s="825"/>
      <c r="C70" s="825"/>
      <c r="D70" s="825"/>
      <c r="E70" s="825"/>
      <c r="F70" s="825"/>
      <c r="G70" s="825"/>
      <c r="H70" s="825"/>
      <c r="I70" s="6"/>
      <c r="J70" s="597"/>
    </row>
    <row r="71" spans="1:17" s="15" customFormat="1" ht="58.5" customHeight="1" x14ac:dyDescent="0.25">
      <c r="A71" s="968" t="s">
        <v>370</v>
      </c>
      <c r="B71" s="968"/>
      <c r="C71" s="968"/>
      <c r="D71" s="968"/>
      <c r="E71" s="968"/>
      <c r="F71" s="968"/>
      <c r="G71" s="968"/>
      <c r="H71" s="968"/>
      <c r="I71" s="968"/>
    </row>
    <row r="72" spans="1:17" s="15" customFormat="1" x14ac:dyDescent="0.25">
      <c r="A72" s="605"/>
    </row>
    <row r="73" spans="1:17" s="15" customFormat="1" ht="33" customHeight="1" x14ac:dyDescent="0.25">
      <c r="A73" s="967" t="str">
        <f>+T5A!A1:L1</f>
        <v>TABEL 5A: Opvolging regulatoir saldo inzake volumeverschillen m.b.t. inkomsten uit periodieke distributienettarieven voor endogene kosten op basis van energieverbruikgerelateerde tariefdragers (kWh, kWmax, kW, kVarh en kVA)</v>
      </c>
      <c r="B73" s="967"/>
      <c r="C73" s="967"/>
      <c r="D73" s="967"/>
      <c r="E73" s="967"/>
      <c r="F73" s="967"/>
      <c r="G73" s="967"/>
      <c r="H73" s="967"/>
      <c r="I73" s="967"/>
      <c r="J73" s="6"/>
      <c r="K73" s="6"/>
      <c r="L73" s="6"/>
      <c r="M73" s="6"/>
      <c r="N73" s="6"/>
      <c r="O73" s="6"/>
      <c r="P73" s="6"/>
      <c r="Q73" s="6"/>
    </row>
    <row r="74" spans="1:17" s="15" customFormat="1" ht="87.75" customHeight="1" x14ac:dyDescent="0.25">
      <c r="A74" s="968" t="s">
        <v>357</v>
      </c>
      <c r="B74" s="968"/>
      <c r="C74" s="968"/>
      <c r="D74" s="968"/>
      <c r="E74" s="968"/>
      <c r="F74" s="968"/>
      <c r="G74" s="968"/>
      <c r="H74" s="968"/>
      <c r="I74" s="968"/>
    </row>
    <row r="75" spans="1:17" s="15" customFormat="1" x14ac:dyDescent="0.25">
      <c r="A75" s="605"/>
    </row>
    <row r="76" spans="1:17" s="15" customFormat="1" ht="33" customHeight="1" x14ac:dyDescent="0.25">
      <c r="A76" s="967" t="str">
        <f>+T5B!A1:J1</f>
        <v xml:space="preserve">TABEL 5B: Overzicht regulatoir saldo per tariefcomponent inzake volumeverschillen m.b.t. inkomsten uit periodieke distributienettarieven voor endogene kosten op basis van energieverbruikgerelateerde tariefdragers (kWh, kWmax, kW, kVarh en kVA) </v>
      </c>
      <c r="B76" s="967"/>
      <c r="C76" s="967"/>
      <c r="D76" s="967"/>
      <c r="E76" s="967"/>
      <c r="F76" s="967"/>
      <c r="G76" s="967"/>
      <c r="H76" s="967"/>
      <c r="I76" s="967"/>
      <c r="J76" s="6"/>
      <c r="K76" s="6"/>
      <c r="L76" s="6"/>
      <c r="M76" s="6"/>
      <c r="N76" s="6"/>
      <c r="O76" s="6"/>
      <c r="P76" s="6"/>
      <c r="Q76" s="6"/>
    </row>
    <row r="77" spans="1:17" s="15" customFormat="1" ht="82.5" customHeight="1" x14ac:dyDescent="0.25">
      <c r="A77" s="968" t="s">
        <v>366</v>
      </c>
      <c r="B77" s="968"/>
      <c r="C77" s="968"/>
      <c r="D77" s="968"/>
      <c r="E77" s="968"/>
      <c r="F77" s="968"/>
      <c r="G77" s="968"/>
      <c r="H77" s="968"/>
      <c r="I77" s="968"/>
    </row>
    <row r="78" spans="1:17" s="15" customFormat="1" x14ac:dyDescent="0.25">
      <c r="A78" s="605"/>
    </row>
    <row r="79" spans="1:17" s="15" customFormat="1" x14ac:dyDescent="0.25">
      <c r="A79" s="825" t="str">
        <f>+T5C!A1:J1</f>
        <v>TABEL 5C: Werkelijke ontvangsten uit periodieke nettarieven voor exogene en endogene kosten in boekjaar 2017 (elektriciteit - afname)</v>
      </c>
      <c r="B79" s="825"/>
      <c r="C79" s="825"/>
      <c r="D79" s="825"/>
      <c r="E79" s="825"/>
      <c r="F79" s="825"/>
      <c r="G79" s="825"/>
      <c r="H79" s="825"/>
      <c r="I79" s="825"/>
      <c r="J79"/>
    </row>
    <row r="80" spans="1:17" s="15" customFormat="1" ht="209.25" customHeight="1" x14ac:dyDescent="0.25">
      <c r="A80" s="968" t="s">
        <v>358</v>
      </c>
      <c r="B80" s="968"/>
      <c r="C80" s="968"/>
      <c r="D80" s="968"/>
      <c r="E80" s="968"/>
      <c r="F80" s="968"/>
      <c r="G80" s="968"/>
      <c r="H80" s="968"/>
      <c r="I80" s="968"/>
    </row>
    <row r="81" spans="1:22" s="15" customFormat="1" x14ac:dyDescent="0.25">
      <c r="A81" s="605"/>
    </row>
    <row r="82" spans="1:22" s="15" customFormat="1" x14ac:dyDescent="0.25">
      <c r="A82" s="825" t="str">
        <f>+T5D!A1:I1</f>
        <v>TABEL 5D: Werkelijke ontvangsten uit periodieke distributienettarieven voor exogene en endogene kosten in boekjaar 2017 (elektriciteit-injectie)</v>
      </c>
      <c r="B82" s="825"/>
      <c r="C82" s="825"/>
      <c r="D82" s="825"/>
      <c r="E82" s="825"/>
      <c r="F82" s="825"/>
      <c r="G82" s="825"/>
      <c r="H82" s="825"/>
      <c r="I82" s="825"/>
      <c r="J82"/>
    </row>
    <row r="83" spans="1:22" s="15" customFormat="1" ht="193.5" customHeight="1" x14ac:dyDescent="0.25">
      <c r="A83" s="968" t="s">
        <v>352</v>
      </c>
      <c r="B83" s="968"/>
      <c r="C83" s="968"/>
      <c r="D83" s="968"/>
      <c r="E83" s="968"/>
      <c r="F83" s="968"/>
      <c r="G83" s="968"/>
      <c r="H83" s="968"/>
      <c r="I83" s="968"/>
    </row>
    <row r="84" spans="1:22" s="15" customFormat="1" x14ac:dyDescent="0.25">
      <c r="A84" s="605"/>
    </row>
    <row r="85" spans="1:22" s="15" customFormat="1" x14ac:dyDescent="0.25">
      <c r="A85" s="825" t="str">
        <f>+T5E!A1:G1</f>
        <v>TABEL 5E: Werkelijke ontvangsten uit periodieke distributienettarieven voor exogene en endogene kosten in boekjaar 2017 (gas - afname)</v>
      </c>
      <c r="B85" s="825"/>
      <c r="C85" s="825"/>
      <c r="D85" s="825"/>
      <c r="E85" s="825"/>
      <c r="F85" s="825"/>
      <c r="G85" s="825"/>
      <c r="H85" s="825"/>
      <c r="I85" s="825"/>
    </row>
    <row r="86" spans="1:22" s="15" customFormat="1" ht="152.25" customHeight="1" x14ac:dyDescent="0.25">
      <c r="A86" s="968" t="s">
        <v>351</v>
      </c>
      <c r="B86" s="968"/>
      <c r="C86" s="968"/>
      <c r="D86" s="968"/>
      <c r="E86" s="968"/>
      <c r="F86" s="968"/>
      <c r="G86" s="968"/>
      <c r="H86" s="968"/>
      <c r="I86" s="968"/>
    </row>
    <row r="87" spans="1:22" s="15" customFormat="1" x14ac:dyDescent="0.25">
      <c r="A87" s="605"/>
    </row>
    <row r="88" spans="1:22" s="15" customFormat="1" x14ac:dyDescent="0.25">
      <c r="A88" s="825" t="str">
        <f>+T6A!A1:H1</f>
        <v>TABEL 6A: Opvolging regulatoir saldo inzake herindexering van het budget voor endogene kosten</v>
      </c>
      <c r="B88" s="825"/>
      <c r="C88" s="825"/>
      <c r="D88" s="825"/>
      <c r="E88" s="825"/>
      <c r="F88"/>
      <c r="G88" s="801"/>
      <c r="H88" s="801"/>
      <c r="I88" s="801"/>
    </row>
    <row r="89" spans="1:22" s="15" customFormat="1" ht="177.75" customHeight="1" x14ac:dyDescent="0.25">
      <c r="A89" s="968" t="s">
        <v>360</v>
      </c>
      <c r="B89" s="968"/>
      <c r="C89" s="968"/>
      <c r="D89" s="968"/>
      <c r="E89" s="968"/>
      <c r="F89" s="968"/>
      <c r="G89" s="968"/>
      <c r="H89" s="968"/>
      <c r="I89" s="968"/>
    </row>
    <row r="90" spans="1:22" s="15" customFormat="1" x14ac:dyDescent="0.25">
      <c r="A90" s="605"/>
    </row>
    <row r="91" spans="1:22" s="15" customFormat="1" ht="12.75" customHeight="1" x14ac:dyDescent="0.25">
      <c r="A91" s="825" t="str">
        <f>+T6B!A1:J1</f>
        <v>TABEL 6B: Overzicht regulatoir saldo inzake herindexering van het budget voor endogene kosten per tariefcomponent</v>
      </c>
      <c r="B91" s="825"/>
      <c r="C91" s="825"/>
      <c r="D91" s="825"/>
      <c r="E91" s="825"/>
      <c r="F91" s="825"/>
      <c r="G91" s="825"/>
      <c r="H91" s="803"/>
      <c r="I91" s="803"/>
      <c r="J91" s="6"/>
      <c r="K91" s="6"/>
      <c r="L91" s="6"/>
      <c r="M91" s="6"/>
      <c r="N91" s="6"/>
      <c r="O91" s="6"/>
      <c r="P91" s="6"/>
      <c r="Q91" s="6"/>
    </row>
    <row r="92" spans="1:22" s="15" customFormat="1" ht="81.75" customHeight="1" x14ac:dyDescent="0.25">
      <c r="A92" s="968" t="s">
        <v>367</v>
      </c>
      <c r="B92" s="968"/>
      <c r="C92" s="968"/>
      <c r="D92" s="968"/>
      <c r="E92" s="968"/>
      <c r="F92" s="968"/>
      <c r="G92" s="968"/>
      <c r="H92" s="968"/>
      <c r="I92" s="968"/>
      <c r="N92" s="968"/>
      <c r="O92" s="968"/>
      <c r="P92" s="968"/>
      <c r="Q92" s="968"/>
      <c r="R92" s="968"/>
      <c r="S92" s="968"/>
      <c r="T92" s="968"/>
      <c r="U92" s="968"/>
      <c r="V92" s="968"/>
    </row>
    <row r="93" spans="1:22" s="15" customFormat="1" x14ac:dyDescent="0.25">
      <c r="A93" s="605"/>
    </row>
    <row r="94" spans="1:22" s="15" customFormat="1" x14ac:dyDescent="0.25">
      <c r="A94" s="825" t="str">
        <f>+'T7'!A1:H1</f>
        <v>TABEL 7: Opvolging regulatoir saldo inzake vennootschapsbelasting</v>
      </c>
      <c r="B94" s="825"/>
      <c r="C94" s="825"/>
      <c r="D94" s="801"/>
      <c r="E94" s="801"/>
      <c r="F94" s="801"/>
      <c r="G94" s="801"/>
      <c r="H94" s="801"/>
      <c r="I94" s="801"/>
    </row>
    <row r="95" spans="1:22" s="15" customFormat="1" ht="88.5" customHeight="1" x14ac:dyDescent="0.25">
      <c r="A95" s="968" t="s">
        <v>371</v>
      </c>
      <c r="B95" s="968"/>
      <c r="C95" s="968"/>
      <c r="D95" s="968"/>
      <c r="E95" s="968"/>
      <c r="F95" s="968"/>
      <c r="G95" s="968"/>
      <c r="H95" s="968"/>
      <c r="I95" s="968"/>
    </row>
    <row r="96" spans="1:22" s="15" customFormat="1" x14ac:dyDescent="0.25">
      <c r="A96" s="605"/>
    </row>
    <row r="97" spans="1:14" s="15" customFormat="1" ht="13" x14ac:dyDescent="0.3">
      <c r="A97" s="950" t="s">
        <v>373</v>
      </c>
      <c r="B97" s="951"/>
      <c r="C97" s="951"/>
      <c r="D97" s="951"/>
      <c r="E97" s="951"/>
      <c r="F97" s="951"/>
      <c r="G97" s="951"/>
      <c r="H97" s="951"/>
      <c r="I97" s="951"/>
      <c r="J97" s="923"/>
      <c r="K97"/>
      <c r="L97" s="804"/>
      <c r="M97" s="804"/>
      <c r="N97" s="378" t="s">
        <v>376</v>
      </c>
    </row>
    <row r="98" spans="1:14" s="15" customFormat="1" ht="106.5" customHeight="1" x14ac:dyDescent="0.25">
      <c r="A98" s="969" t="s">
        <v>375</v>
      </c>
      <c r="B98" s="968"/>
      <c r="C98" s="968"/>
      <c r="D98" s="968"/>
      <c r="E98" s="968"/>
      <c r="F98" s="968"/>
      <c r="G98" s="968"/>
      <c r="H98" s="968"/>
      <c r="I98" s="968"/>
    </row>
    <row r="99" spans="1:14" s="15" customFormat="1" x14ac:dyDescent="0.25">
      <c r="A99" s="605"/>
    </row>
    <row r="100" spans="1:14" s="15" customFormat="1" x14ac:dyDescent="0.25">
      <c r="A100" s="825" t="str">
        <f>+'T9'!A1:J1</f>
        <v>TABEL 9: Saldo kapitaalkostvergoeding voor geïmmobiliseerde GSC en WKC in portefeuille van de distributienetbeheerder</v>
      </c>
      <c r="B100" s="825"/>
      <c r="C100" s="825"/>
      <c r="D100" s="825"/>
      <c r="E100" s="825"/>
      <c r="F100" s="825"/>
      <c r="G100" s="825"/>
      <c r="H100"/>
    </row>
    <row r="101" spans="1:14" s="15" customFormat="1" ht="81" customHeight="1" x14ac:dyDescent="0.25">
      <c r="A101" s="968" t="s">
        <v>355</v>
      </c>
      <c r="B101" s="968"/>
      <c r="C101" s="968"/>
      <c r="D101" s="968"/>
      <c r="E101" s="968"/>
      <c r="F101" s="968"/>
      <c r="G101" s="968"/>
      <c r="H101" s="968"/>
      <c r="I101" s="968"/>
    </row>
    <row r="102" spans="1:14" s="15" customFormat="1" x14ac:dyDescent="0.25">
      <c r="A102" s="605"/>
    </row>
    <row r="103" spans="1:14" s="15" customFormat="1" x14ac:dyDescent="0.25">
      <c r="A103" s="825" t="str">
        <f>+'T10'!A1:J1</f>
        <v>TABEL 10: Belastingen, heffingen, toeslagen, bijdragen en retributies</v>
      </c>
      <c r="B103" s="825"/>
      <c r="C103" s="825"/>
      <c r="D103"/>
    </row>
    <row r="104" spans="1:14" s="15" customFormat="1" ht="107.25" customHeight="1" x14ac:dyDescent="0.25">
      <c r="A104" s="968" t="s">
        <v>306</v>
      </c>
      <c r="B104" s="968"/>
      <c r="C104" s="968"/>
      <c r="D104" s="968"/>
      <c r="E104" s="968"/>
      <c r="F104" s="968"/>
      <c r="G104" s="968"/>
      <c r="H104" s="968"/>
      <c r="I104" s="968"/>
    </row>
    <row r="105" spans="1:14" s="15" customFormat="1" ht="14" x14ac:dyDescent="0.3">
      <c r="A105" s="805"/>
    </row>
    <row r="106" spans="1:14" ht="14" x14ac:dyDescent="0.3">
      <c r="A106" s="24"/>
    </row>
    <row r="107" spans="1:14" ht="14" x14ac:dyDescent="0.3">
      <c r="A107" s="24"/>
    </row>
    <row r="108" spans="1:14" ht="14" x14ac:dyDescent="0.3">
      <c r="A108" s="24"/>
    </row>
    <row r="109" spans="1:14" ht="14" x14ac:dyDescent="0.3">
      <c r="A109" s="43"/>
    </row>
    <row r="110" spans="1:14" ht="14" x14ac:dyDescent="0.3">
      <c r="A110" s="24"/>
    </row>
    <row r="111" spans="1:14" ht="14" x14ac:dyDescent="0.3">
      <c r="A111" s="24"/>
    </row>
    <row r="112" spans="1:14" ht="14" x14ac:dyDescent="0.3">
      <c r="A112" s="43"/>
    </row>
    <row r="113" spans="1:1" ht="14" x14ac:dyDescent="0.3">
      <c r="A113" s="44"/>
    </row>
    <row r="114" spans="1:1" ht="14" x14ac:dyDescent="0.3">
      <c r="A114" s="44"/>
    </row>
    <row r="115" spans="1:1" ht="14" x14ac:dyDescent="0.3">
      <c r="A115" s="24"/>
    </row>
    <row r="116" spans="1:1" ht="14" x14ac:dyDescent="0.3">
      <c r="A116" s="43"/>
    </row>
    <row r="117" spans="1:1" ht="14" x14ac:dyDescent="0.3">
      <c r="A117" s="24"/>
    </row>
    <row r="118" spans="1:1" ht="14" x14ac:dyDescent="0.3">
      <c r="A118" s="24"/>
    </row>
    <row r="119" spans="1:1" ht="14" x14ac:dyDescent="0.3">
      <c r="A119" s="24"/>
    </row>
    <row r="120" spans="1:1" ht="14" x14ac:dyDescent="0.3">
      <c r="A120" s="24"/>
    </row>
    <row r="121" spans="1:1" ht="14" x14ac:dyDescent="0.3">
      <c r="A121" s="43"/>
    </row>
    <row r="122" spans="1:1" ht="14" x14ac:dyDescent="0.3">
      <c r="A122" s="24"/>
    </row>
    <row r="123" spans="1:1" ht="14" x14ac:dyDescent="0.3">
      <c r="A123" s="24"/>
    </row>
    <row r="124" spans="1:1" ht="14" x14ac:dyDescent="0.3">
      <c r="A124" s="24"/>
    </row>
    <row r="125" spans="1:1" ht="14" x14ac:dyDescent="0.3">
      <c r="A125" s="24"/>
    </row>
    <row r="126" spans="1:1" ht="14" x14ac:dyDescent="0.3">
      <c r="A126" s="24"/>
    </row>
    <row r="127" spans="1:1" ht="14" x14ac:dyDescent="0.3">
      <c r="A127" s="45"/>
    </row>
    <row r="128" spans="1:1" ht="14" x14ac:dyDescent="0.3">
      <c r="A128" s="24"/>
    </row>
    <row r="129" spans="1:1" x14ac:dyDescent="0.25">
      <c r="A129" s="25"/>
    </row>
    <row r="130" spans="1:1" x14ac:dyDescent="0.25">
      <c r="A130" s="25"/>
    </row>
  </sheetData>
  <customSheetViews>
    <customSheetView guid="{C8C7977F-B6BF-432B-A1A7-559450D521AF}" showGridLines="0" topLeftCell="A20">
      <selection activeCell="E53" sqref="E53"/>
      <colBreaks count="1" manualBreakCount="1">
        <brk id="17" max="1048575" man="1"/>
      </colBreaks>
      <pageMargins left="0.98425196850393704" right="0.23622047244094491" top="0.82677165354330717" bottom="0.70866141732283472" header="0.74803149606299213" footer="0.47244094488188981"/>
      <pageSetup paperSize="8" scale="90" orientation="landscape" r:id="rId1"/>
      <headerFooter alignWithMargins="0">
        <oddFooter>&amp;C&amp;P/&amp;N</oddFooter>
      </headerFooter>
    </customSheetView>
  </customSheetViews>
  <mergeCells count="30">
    <mergeCell ref="A101:I101"/>
    <mergeCell ref="A77:I77"/>
    <mergeCell ref="N92:V92"/>
    <mergeCell ref="A104:I104"/>
    <mergeCell ref="A80:I80"/>
    <mergeCell ref="A83:I83"/>
    <mergeCell ref="A86:I86"/>
    <mergeCell ref="A89:I89"/>
    <mergeCell ref="A92:I92"/>
    <mergeCell ref="A95:I95"/>
    <mergeCell ref="A98:I98"/>
    <mergeCell ref="A35:I35"/>
    <mergeCell ref="A47:I47"/>
    <mergeCell ref="A65:I65"/>
    <mergeCell ref="A73:I73"/>
    <mergeCell ref="A50:I50"/>
    <mergeCell ref="A76:I76"/>
    <mergeCell ref="A53:I53"/>
    <mergeCell ref="A56:I56"/>
    <mergeCell ref="A59:I59"/>
    <mergeCell ref="A62:I62"/>
    <mergeCell ref="A68:I68"/>
    <mergeCell ref="A71:I71"/>
    <mergeCell ref="A74:I74"/>
    <mergeCell ref="A21:I21"/>
    <mergeCell ref="C7:F7"/>
    <mergeCell ref="C8:F8"/>
    <mergeCell ref="C9:F9"/>
    <mergeCell ref="C10:F10"/>
    <mergeCell ref="C12:F12"/>
  </mergeCells>
  <dataValidations count="3">
    <dataValidation type="list" allowBlank="1" showInputMessage="1" showErrorMessage="1" sqref="C12">
      <formula1>"elektriciteit,gas"</formula1>
    </dataValidation>
    <dataValidation type="list" allowBlank="1" showInputMessage="1" showErrorMessage="1" sqref="F18">
      <formula1>"ex-ante,ex-post"</formula1>
    </dataValidation>
    <dataValidation type="list" allowBlank="1" showInputMessage="1" showErrorMessage="1" sqref="E18">
      <formula1>"2017,2018,2019,2020"</formula1>
    </dataValidation>
  </dataValidations>
  <hyperlinks>
    <hyperlink ref="A49:B49" location="TITELBLAD!A1" display="TITELBLAD"/>
    <hyperlink ref="A52:F52" location="'T1'!A1" display="'T1'!A1"/>
    <hyperlink ref="A55:B55" location="'T2'!A1" display="'T2'!A1"/>
    <hyperlink ref="A58:C58" location="T3A!A1" display="T3A!A1"/>
    <hyperlink ref="A61:D61" location="T3B!A1" display="T3B!A1"/>
    <hyperlink ref="A64:E64" location="T4A!A1" display="T4A!A1"/>
    <hyperlink ref="A67:G67" location="T4B!A1" display="T4B!A1"/>
    <hyperlink ref="A70:I70" location="T4C!A1" display="T4C!A1"/>
    <hyperlink ref="A73:I73" location="T5A!A1" display="T5A!A1"/>
    <hyperlink ref="A76:I76" location="T5B!A1" display="T5B!A1"/>
    <hyperlink ref="A79:I79" location="T5C!A1" display="T5C!A1"/>
    <hyperlink ref="A82:I82" location="T5D!A1" display="T5D!A1"/>
    <hyperlink ref="A85:I85" location="T5E!A1" display="T5E!A1"/>
    <hyperlink ref="A88:E88" location="T6A!A1" display="T6A!A1"/>
    <hyperlink ref="A91:G91" location="T6B!A1" display="T6B!A1"/>
    <hyperlink ref="A94:C94" location="'T7'!A1" display="'T7'!A1"/>
    <hyperlink ref="A100:G100" location="'T9'!A1" display="'T9'!A1"/>
    <hyperlink ref="A103:C103" location="'T10'!A1" display="'T10'!A1"/>
    <hyperlink ref="A97:J97" location="'T8'!Afdrukbereik" display="TABEL 8: Overzicht afbouw saldi voor 'niet-beheersbare' kosten per tariefcomponent en saldi voor 'beheersbare' kosten m.b.t. exploitatiejaren 2010-2014"/>
  </hyperlinks>
  <pageMargins left="0.98425196850393704" right="0.23622047244094491" top="0.82677165354330717" bottom="0.70866141732283472" header="0.74803149606299213" footer="0.47244094488188981"/>
  <pageSetup paperSize="8" scale="61" orientation="portrait" r:id="rId2"/>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Blad2">
    <pageSetUpPr fitToPage="1"/>
  </sheetPr>
  <dimension ref="A1:R124"/>
  <sheetViews>
    <sheetView zoomScale="80" zoomScaleNormal="80" workbookViewId="0">
      <selection activeCell="D21" sqref="D21"/>
    </sheetView>
  </sheetViews>
  <sheetFormatPr defaultColWidth="9.1796875" defaultRowHeight="12.5" x14ac:dyDescent="0.25"/>
  <cols>
    <col min="1" max="1" width="4.1796875" style="54" customWidth="1"/>
    <col min="2" max="2" width="22.453125" style="54" customWidth="1"/>
    <col min="3" max="3" width="1.453125" style="54" customWidth="1"/>
    <col min="4" max="4" width="23" style="54" customWidth="1"/>
    <col min="5" max="5" width="10.7265625" style="55" customWidth="1"/>
    <col min="6" max="7" width="26.1796875" style="54" customWidth="1"/>
    <col min="8" max="10" width="23.7265625" style="54" customWidth="1"/>
    <col min="11" max="12" width="25" style="54" customWidth="1"/>
    <col min="13" max="13" width="22.453125" style="54" customWidth="1"/>
    <col min="14" max="14" width="26.54296875" style="54" customWidth="1"/>
    <col min="15" max="15" width="22.453125" style="54" customWidth="1"/>
    <col min="16" max="16" width="31.81640625" style="54" customWidth="1"/>
    <col min="17" max="17" width="19.7265625" style="54" customWidth="1"/>
    <col min="18" max="18" width="18.7265625" style="54" customWidth="1"/>
    <col min="19" max="16384" width="9.1796875" style="20"/>
  </cols>
  <sheetData>
    <row r="1" spans="1:18" ht="18" customHeight="1" thickBot="1" x14ac:dyDescent="0.45">
      <c r="A1" s="990" t="str">
        <f>" TABEL 1: Resultatenrekening (algemene boekhouding) voor boekjaar "&amp;TITELBLAD!E18&amp;" (waarden boekhouding)"</f>
        <v xml:space="preserve"> TABEL 1: Resultatenrekening (algemene boekhouding) voor boekjaar 2019 (waarden boekhouding)</v>
      </c>
      <c r="B1" s="991"/>
      <c r="C1" s="991"/>
      <c r="D1" s="991"/>
      <c r="E1" s="991"/>
      <c r="F1" s="991"/>
      <c r="G1" s="991"/>
      <c r="H1" s="991"/>
      <c r="I1" s="991"/>
      <c r="J1" s="991"/>
      <c r="K1" s="991"/>
      <c r="L1" s="992"/>
      <c r="M1" s="20"/>
      <c r="N1" s="20"/>
      <c r="O1" s="20"/>
      <c r="P1" s="20"/>
      <c r="Q1" s="20"/>
      <c r="R1" s="20"/>
    </row>
    <row r="2" spans="1:18" ht="18" x14ac:dyDescent="0.4">
      <c r="A2" s="46"/>
      <c r="B2" s="46"/>
      <c r="C2" s="46"/>
      <c r="D2" s="46"/>
      <c r="E2" s="47"/>
      <c r="F2" s="46"/>
      <c r="G2" s="46"/>
      <c r="H2" s="46"/>
      <c r="I2" s="46"/>
      <c r="J2" s="46"/>
      <c r="K2" s="46"/>
      <c r="L2" s="46"/>
      <c r="M2" s="46"/>
      <c r="N2" s="482" t="s">
        <v>189</v>
      </c>
      <c r="O2" s="482">
        <f>+TITELBLAD!E18</f>
        <v>2019</v>
      </c>
      <c r="P2" s="482" t="str">
        <f>+TITELBLAD!F18</f>
        <v>ex-ante</v>
      </c>
      <c r="Q2" s="46"/>
      <c r="R2" s="47"/>
    </row>
    <row r="3" spans="1:18" s="48" customFormat="1" ht="13" x14ac:dyDescent="0.25">
      <c r="B3" s="49" t="s">
        <v>62</v>
      </c>
      <c r="C3" s="50"/>
      <c r="K3" s="50"/>
      <c r="N3" s="483"/>
      <c r="O3" s="483"/>
      <c r="P3" s="483"/>
    </row>
    <row r="4" spans="1:18" s="48" customFormat="1" ht="13" x14ac:dyDescent="0.25">
      <c r="B4" s="51" t="s">
        <v>182</v>
      </c>
      <c r="C4" s="50"/>
      <c r="K4" s="50"/>
    </row>
    <row r="5" spans="1:18" ht="13.5" thickBot="1" x14ac:dyDescent="0.35">
      <c r="A5" s="52"/>
      <c r="B5" s="52"/>
      <c r="C5" s="52"/>
      <c r="D5" s="52"/>
      <c r="E5" s="53"/>
      <c r="F5" s="52"/>
      <c r="G5" s="52"/>
      <c r="H5" s="52"/>
      <c r="I5" s="52"/>
      <c r="J5" s="52"/>
      <c r="K5" s="52"/>
      <c r="L5" s="52"/>
      <c r="M5" s="52"/>
      <c r="N5" s="52"/>
      <c r="O5" s="52"/>
      <c r="P5" s="52"/>
      <c r="Q5" s="52"/>
      <c r="R5" s="52"/>
    </row>
    <row r="6" spans="1:18" ht="13" thickTop="1" x14ac:dyDescent="0.25">
      <c r="A6" s="982" t="s">
        <v>73</v>
      </c>
      <c r="B6" s="983"/>
      <c r="C6" s="983"/>
      <c r="D6" s="984"/>
      <c r="E6" s="993" t="s">
        <v>3</v>
      </c>
      <c r="F6" s="976" t="s">
        <v>113</v>
      </c>
      <c r="G6" s="977"/>
      <c r="H6" s="977"/>
      <c r="I6" s="977"/>
      <c r="J6" s="978"/>
      <c r="K6" s="976" t="s">
        <v>114</v>
      </c>
      <c r="L6" s="977"/>
      <c r="M6" s="977"/>
      <c r="N6" s="977"/>
      <c r="O6" s="978"/>
      <c r="P6" s="974" t="s">
        <v>115</v>
      </c>
      <c r="Q6" s="974" t="s">
        <v>31</v>
      </c>
      <c r="R6" s="56"/>
    </row>
    <row r="7" spans="1:18" x14ac:dyDescent="0.25">
      <c r="A7" s="985"/>
      <c r="B7" s="986"/>
      <c r="C7" s="986"/>
      <c r="D7" s="987"/>
      <c r="E7" s="994"/>
      <c r="F7" s="979"/>
      <c r="G7" s="980"/>
      <c r="H7" s="980"/>
      <c r="I7" s="980"/>
      <c r="J7" s="981"/>
      <c r="K7" s="979"/>
      <c r="L7" s="980"/>
      <c r="M7" s="980"/>
      <c r="N7" s="980"/>
      <c r="O7" s="981"/>
      <c r="P7" s="975"/>
      <c r="Q7" s="975"/>
      <c r="R7" s="56"/>
    </row>
    <row r="8" spans="1:18" ht="29.25" customHeight="1" x14ac:dyDescent="0.25">
      <c r="A8" s="450"/>
      <c r="B8" s="451"/>
      <c r="C8" s="451"/>
      <c r="D8" s="451"/>
      <c r="E8" s="452"/>
      <c r="F8" s="970" t="s">
        <v>180</v>
      </c>
      <c r="G8" s="971"/>
      <c r="H8" s="971"/>
      <c r="I8" s="972"/>
      <c r="J8" s="61" t="s">
        <v>115</v>
      </c>
      <c r="K8" s="970" t="s">
        <v>180</v>
      </c>
      <c r="L8" s="971"/>
      <c r="M8" s="971"/>
      <c r="N8" s="973"/>
      <c r="O8" s="453" t="s">
        <v>115</v>
      </c>
      <c r="P8" s="447"/>
      <c r="Q8" s="447"/>
      <c r="R8" s="56"/>
    </row>
    <row r="9" spans="1:18" ht="31.5" customHeight="1" x14ac:dyDescent="0.3">
      <c r="A9" s="57"/>
      <c r="B9" s="58"/>
      <c r="C9" s="59"/>
      <c r="D9" s="59"/>
      <c r="E9" s="60"/>
      <c r="F9" s="61" t="s">
        <v>229</v>
      </c>
      <c r="G9" s="61" t="s">
        <v>116</v>
      </c>
      <c r="H9" s="61" t="s">
        <v>122</v>
      </c>
      <c r="I9" s="61" t="s">
        <v>179</v>
      </c>
      <c r="J9" s="61"/>
      <c r="K9" s="61" t="s">
        <v>229</v>
      </c>
      <c r="L9" s="61" t="s">
        <v>116</v>
      </c>
      <c r="M9" s="61" t="s">
        <v>122</v>
      </c>
      <c r="N9" s="61" t="s">
        <v>179</v>
      </c>
      <c r="O9" s="61"/>
      <c r="P9" s="62"/>
      <c r="Q9" s="62"/>
      <c r="R9" s="56"/>
    </row>
    <row r="10" spans="1:18" ht="13" x14ac:dyDescent="0.3">
      <c r="A10" s="57"/>
      <c r="B10" s="58"/>
      <c r="C10" s="59"/>
      <c r="D10" s="59"/>
      <c r="E10" s="60"/>
      <c r="F10" s="63"/>
      <c r="G10" s="63"/>
      <c r="H10" s="63"/>
      <c r="I10" s="63"/>
      <c r="J10" s="63"/>
      <c r="K10" s="63"/>
      <c r="L10" s="63"/>
      <c r="M10" s="63"/>
      <c r="N10" s="63"/>
      <c r="O10" s="63"/>
      <c r="P10" s="63"/>
      <c r="Q10" s="63"/>
      <c r="R10" s="56"/>
    </row>
    <row r="11" spans="1:18" x14ac:dyDescent="0.25">
      <c r="A11" s="64"/>
      <c r="B11" s="65"/>
      <c r="C11" s="65"/>
      <c r="D11" s="65"/>
      <c r="E11" s="66"/>
      <c r="F11" s="67"/>
      <c r="G11" s="67"/>
      <c r="H11" s="67"/>
      <c r="I11" s="67"/>
      <c r="J11" s="67"/>
      <c r="K11" s="67"/>
      <c r="L11" s="67"/>
      <c r="M11" s="67"/>
      <c r="N11" s="67"/>
      <c r="O11" s="67"/>
      <c r="P11" s="67"/>
      <c r="Q11" s="67"/>
      <c r="R11" s="56"/>
    </row>
    <row r="12" spans="1:18" ht="13" x14ac:dyDescent="0.25">
      <c r="A12" s="68" t="s">
        <v>74</v>
      </c>
      <c r="B12" s="69"/>
      <c r="C12" s="69"/>
      <c r="D12" s="69"/>
      <c r="E12" s="70" t="s">
        <v>75</v>
      </c>
      <c r="F12" s="457">
        <f t="shared" ref="F12:Q12" si="0">SUM(F14,F17,F18,F19)</f>
        <v>0</v>
      </c>
      <c r="G12" s="457">
        <f t="shared" si="0"/>
        <v>0</v>
      </c>
      <c r="H12" s="457">
        <f t="shared" si="0"/>
        <v>0</v>
      </c>
      <c r="I12" s="457">
        <f>SUM(I14,I17,I18,I19)</f>
        <v>0</v>
      </c>
      <c r="J12" s="457">
        <f>SUM(J14,J17,J18,J19)</f>
        <v>0</v>
      </c>
      <c r="K12" s="457">
        <f t="shared" si="0"/>
        <v>0</v>
      </c>
      <c r="L12" s="457">
        <f t="shared" si="0"/>
        <v>0</v>
      </c>
      <c r="M12" s="457">
        <f t="shared" si="0"/>
        <v>0</v>
      </c>
      <c r="N12" s="457">
        <f>SUM(N14,N17,N18,N19)</f>
        <v>0</v>
      </c>
      <c r="O12" s="457">
        <f>SUM(O14,O17,O18,O19)</f>
        <v>0</v>
      </c>
      <c r="P12" s="457">
        <f t="shared" si="0"/>
        <v>0</v>
      </c>
      <c r="Q12" s="457">
        <f t="shared" si="0"/>
        <v>0</v>
      </c>
      <c r="R12" s="71"/>
    </row>
    <row r="13" spans="1:18" x14ac:dyDescent="0.25">
      <c r="A13" s="72"/>
      <c r="B13" s="73"/>
      <c r="C13" s="73"/>
      <c r="D13" s="73"/>
      <c r="E13" s="74"/>
      <c r="F13" s="458"/>
      <c r="G13" s="458"/>
      <c r="H13" s="458"/>
      <c r="I13" s="458"/>
      <c r="J13" s="458"/>
      <c r="K13" s="458"/>
      <c r="L13" s="458"/>
      <c r="M13" s="458"/>
      <c r="N13" s="458"/>
      <c r="O13" s="458"/>
      <c r="P13" s="458"/>
      <c r="Q13" s="459"/>
      <c r="R13" s="71"/>
    </row>
    <row r="14" spans="1:18" x14ac:dyDescent="0.25">
      <c r="A14" s="75"/>
      <c r="B14" s="73" t="s">
        <v>76</v>
      </c>
      <c r="C14" s="73"/>
      <c r="D14" s="73"/>
      <c r="E14" s="74">
        <v>70</v>
      </c>
      <c r="F14" s="460">
        <v>0</v>
      </c>
      <c r="G14" s="460">
        <v>0</v>
      </c>
      <c r="H14" s="460">
        <v>0</v>
      </c>
      <c r="I14" s="460">
        <v>0</v>
      </c>
      <c r="J14" s="460">
        <v>0</v>
      </c>
      <c r="K14" s="460">
        <v>0</v>
      </c>
      <c r="L14" s="460">
        <v>0</v>
      </c>
      <c r="M14" s="460">
        <v>0</v>
      </c>
      <c r="N14" s="460">
        <v>0</v>
      </c>
      <c r="O14" s="460">
        <v>0</v>
      </c>
      <c r="P14" s="460">
        <v>0</v>
      </c>
      <c r="Q14" s="458">
        <f>SUM(F14:P14)</f>
        <v>0</v>
      </c>
      <c r="R14" s="71"/>
    </row>
    <row r="15" spans="1:18" x14ac:dyDescent="0.25">
      <c r="A15" s="75"/>
      <c r="B15" s="76" t="s">
        <v>77</v>
      </c>
      <c r="C15" s="73"/>
      <c r="D15" s="73"/>
      <c r="E15" s="74"/>
      <c r="F15" s="458"/>
      <c r="G15" s="458"/>
      <c r="H15" s="458"/>
      <c r="I15" s="458"/>
      <c r="J15" s="458"/>
      <c r="K15" s="458"/>
      <c r="L15" s="458"/>
      <c r="M15" s="458"/>
      <c r="N15" s="458"/>
      <c r="O15" s="458"/>
      <c r="P15" s="458"/>
      <c r="Q15" s="458"/>
      <c r="R15" s="71"/>
    </row>
    <row r="16" spans="1:18" x14ac:dyDescent="0.25">
      <c r="A16" s="75"/>
      <c r="B16" s="73" t="s">
        <v>78</v>
      </c>
      <c r="C16" s="73"/>
      <c r="D16" s="73"/>
      <c r="E16" s="74"/>
      <c r="F16" s="458"/>
      <c r="G16" s="458"/>
      <c r="H16" s="458"/>
      <c r="I16" s="458"/>
      <c r="J16" s="458"/>
      <c r="K16" s="458"/>
      <c r="L16" s="458"/>
      <c r="M16" s="458"/>
      <c r="N16" s="458"/>
      <c r="O16" s="458"/>
      <c r="P16" s="458"/>
      <c r="Q16" s="458"/>
      <c r="R16" s="71"/>
    </row>
    <row r="17" spans="1:18" x14ac:dyDescent="0.25">
      <c r="A17" s="75"/>
      <c r="B17" s="76" t="s">
        <v>79</v>
      </c>
      <c r="C17" s="73"/>
      <c r="D17" s="73"/>
      <c r="E17" s="74">
        <v>71</v>
      </c>
      <c r="F17" s="460">
        <v>0</v>
      </c>
      <c r="G17" s="460">
        <v>0</v>
      </c>
      <c r="H17" s="460">
        <v>0</v>
      </c>
      <c r="I17" s="460">
        <v>0</v>
      </c>
      <c r="J17" s="460">
        <v>0</v>
      </c>
      <c r="K17" s="460">
        <v>0</v>
      </c>
      <c r="L17" s="460">
        <v>0</v>
      </c>
      <c r="M17" s="460">
        <v>0</v>
      </c>
      <c r="N17" s="460">
        <v>0</v>
      </c>
      <c r="O17" s="460">
        <v>0</v>
      </c>
      <c r="P17" s="460">
        <v>0</v>
      </c>
      <c r="Q17" s="458">
        <f>SUM(F17:P17)</f>
        <v>0</v>
      </c>
      <c r="R17" s="71"/>
    </row>
    <row r="18" spans="1:18" x14ac:dyDescent="0.25">
      <c r="A18" s="75"/>
      <c r="B18" s="73" t="s">
        <v>80</v>
      </c>
      <c r="C18" s="73"/>
      <c r="D18" s="73"/>
      <c r="E18" s="74">
        <v>72</v>
      </c>
      <c r="F18" s="460">
        <v>0</v>
      </c>
      <c r="G18" s="460">
        <v>0</v>
      </c>
      <c r="H18" s="460">
        <v>0</v>
      </c>
      <c r="I18" s="460">
        <v>0</v>
      </c>
      <c r="J18" s="460">
        <v>0</v>
      </c>
      <c r="K18" s="460">
        <v>0</v>
      </c>
      <c r="L18" s="460">
        <v>0</v>
      </c>
      <c r="M18" s="460">
        <v>0</v>
      </c>
      <c r="N18" s="460">
        <v>0</v>
      </c>
      <c r="O18" s="460">
        <v>0</v>
      </c>
      <c r="P18" s="460">
        <v>0</v>
      </c>
      <c r="Q18" s="458">
        <f>SUM(F18:P18)</f>
        <v>0</v>
      </c>
      <c r="R18" s="71"/>
    </row>
    <row r="19" spans="1:18" x14ac:dyDescent="0.25">
      <c r="A19" s="75"/>
      <c r="B19" s="73" t="s">
        <v>81</v>
      </c>
      <c r="C19" s="76"/>
      <c r="D19" s="73"/>
      <c r="E19" s="74">
        <v>74</v>
      </c>
      <c r="F19" s="460">
        <v>0</v>
      </c>
      <c r="G19" s="460">
        <v>0</v>
      </c>
      <c r="H19" s="460">
        <v>0</v>
      </c>
      <c r="I19" s="460">
        <v>0</v>
      </c>
      <c r="J19" s="460">
        <v>0</v>
      </c>
      <c r="K19" s="460">
        <v>0</v>
      </c>
      <c r="L19" s="460">
        <v>0</v>
      </c>
      <c r="M19" s="460">
        <v>0</v>
      </c>
      <c r="N19" s="460">
        <v>0</v>
      </c>
      <c r="O19" s="460">
        <v>0</v>
      </c>
      <c r="P19" s="460">
        <v>0</v>
      </c>
      <c r="Q19" s="458">
        <f>SUM(F19:P19)</f>
        <v>0</v>
      </c>
      <c r="R19" s="71"/>
    </row>
    <row r="20" spans="1:18" x14ac:dyDescent="0.25">
      <c r="A20" s="75"/>
      <c r="B20" s="76"/>
      <c r="C20" s="73"/>
      <c r="D20" s="73"/>
      <c r="E20" s="74"/>
      <c r="F20" s="458"/>
      <c r="G20" s="458"/>
      <c r="H20" s="458"/>
      <c r="I20" s="458"/>
      <c r="J20" s="458"/>
      <c r="K20" s="458"/>
      <c r="L20" s="458"/>
      <c r="M20" s="458"/>
      <c r="N20" s="458"/>
      <c r="O20" s="458"/>
      <c r="P20" s="458"/>
      <c r="Q20" s="458"/>
      <c r="R20" s="71"/>
    </row>
    <row r="21" spans="1:18" ht="13" x14ac:dyDescent="0.25">
      <c r="A21" s="77" t="s">
        <v>82</v>
      </c>
      <c r="B21" s="78"/>
      <c r="C21" s="69"/>
      <c r="D21" s="69"/>
      <c r="E21" s="70">
        <v>75</v>
      </c>
      <c r="F21" s="461">
        <v>0</v>
      </c>
      <c r="G21" s="461">
        <v>0</v>
      </c>
      <c r="H21" s="461">
        <v>0</v>
      </c>
      <c r="I21" s="461">
        <v>0</v>
      </c>
      <c r="J21" s="461">
        <v>0</v>
      </c>
      <c r="K21" s="461">
        <v>0</v>
      </c>
      <c r="L21" s="461">
        <v>0</v>
      </c>
      <c r="M21" s="461">
        <v>0</v>
      </c>
      <c r="N21" s="461">
        <v>0</v>
      </c>
      <c r="O21" s="461">
        <v>0</v>
      </c>
      <c r="P21" s="461">
        <v>0</v>
      </c>
      <c r="Q21" s="457">
        <f>SUM(F21:P21)</f>
        <v>0</v>
      </c>
      <c r="R21" s="71"/>
    </row>
    <row r="22" spans="1:18" ht="13" x14ac:dyDescent="0.25">
      <c r="A22" s="79"/>
      <c r="B22" s="80"/>
      <c r="C22" s="81"/>
      <c r="D22" s="81"/>
      <c r="E22" s="82"/>
      <c r="F22" s="462"/>
      <c r="G22" s="462"/>
      <c r="H22" s="462"/>
      <c r="I22" s="462"/>
      <c r="J22" s="462"/>
      <c r="K22" s="462"/>
      <c r="L22" s="462"/>
      <c r="M22" s="462"/>
      <c r="N22" s="462"/>
      <c r="O22" s="462"/>
      <c r="P22" s="462"/>
      <c r="Q22" s="457"/>
      <c r="R22" s="71"/>
    </row>
    <row r="23" spans="1:18" ht="13" x14ac:dyDescent="0.3">
      <c r="A23" s="77" t="s">
        <v>83</v>
      </c>
      <c r="B23" s="83"/>
      <c r="C23" s="69"/>
      <c r="D23" s="69"/>
      <c r="E23" s="70">
        <v>76</v>
      </c>
      <c r="F23" s="461">
        <v>0</v>
      </c>
      <c r="G23" s="461">
        <v>0</v>
      </c>
      <c r="H23" s="461">
        <v>0</v>
      </c>
      <c r="I23" s="461">
        <v>0</v>
      </c>
      <c r="J23" s="461">
        <v>0</v>
      </c>
      <c r="K23" s="461">
        <v>0</v>
      </c>
      <c r="L23" s="461">
        <v>0</v>
      </c>
      <c r="M23" s="461">
        <v>0</v>
      </c>
      <c r="N23" s="461">
        <v>0</v>
      </c>
      <c r="O23" s="461">
        <v>0</v>
      </c>
      <c r="P23" s="461">
        <v>0</v>
      </c>
      <c r="Q23" s="457">
        <f>SUM(F23:P23)</f>
        <v>0</v>
      </c>
      <c r="R23" s="71"/>
    </row>
    <row r="24" spans="1:18" x14ac:dyDescent="0.25">
      <c r="A24" s="75"/>
      <c r="B24" s="73"/>
      <c r="C24" s="73"/>
      <c r="D24" s="73"/>
      <c r="E24" s="74"/>
      <c r="F24" s="458"/>
      <c r="G24" s="458"/>
      <c r="H24" s="458"/>
      <c r="I24" s="458"/>
      <c r="J24" s="458"/>
      <c r="K24" s="458"/>
      <c r="L24" s="458"/>
      <c r="M24" s="458"/>
      <c r="N24" s="458"/>
      <c r="O24" s="458"/>
      <c r="P24" s="458"/>
      <c r="Q24" s="458"/>
      <c r="R24" s="71"/>
    </row>
    <row r="25" spans="1:18" ht="13" x14ac:dyDescent="0.25">
      <c r="A25" s="77" t="s">
        <v>84</v>
      </c>
      <c r="B25" s="69"/>
      <c r="C25" s="69"/>
      <c r="D25" s="69"/>
      <c r="E25" s="70"/>
      <c r="F25" s="457"/>
      <c r="G25" s="457"/>
      <c r="H25" s="457"/>
      <c r="I25" s="457"/>
      <c r="J25" s="457"/>
      <c r="K25" s="457"/>
      <c r="L25" s="457"/>
      <c r="M25" s="457"/>
      <c r="N25" s="457"/>
      <c r="O25" s="457"/>
      <c r="P25" s="457"/>
      <c r="Q25" s="457"/>
      <c r="R25" s="71"/>
    </row>
    <row r="26" spans="1:18" ht="13" x14ac:dyDescent="0.25">
      <c r="A26" s="77" t="s">
        <v>85</v>
      </c>
      <c r="B26" s="69"/>
      <c r="C26" s="69"/>
      <c r="D26" s="69"/>
      <c r="E26" s="70">
        <v>780</v>
      </c>
      <c r="F26" s="461">
        <v>0</v>
      </c>
      <c r="G26" s="461">
        <v>0</v>
      </c>
      <c r="H26" s="461">
        <v>0</v>
      </c>
      <c r="I26" s="461">
        <v>0</v>
      </c>
      <c r="J26" s="461">
        <v>0</v>
      </c>
      <c r="K26" s="461">
        <v>0</v>
      </c>
      <c r="L26" s="461">
        <v>0</v>
      </c>
      <c r="M26" s="461">
        <v>0</v>
      </c>
      <c r="N26" s="461">
        <v>0</v>
      </c>
      <c r="O26" s="461">
        <v>0</v>
      </c>
      <c r="P26" s="461">
        <v>0</v>
      </c>
      <c r="Q26" s="457">
        <f>SUM(F26:P26)</f>
        <v>0</v>
      </c>
      <c r="R26" s="71"/>
    </row>
    <row r="27" spans="1:18" ht="13" x14ac:dyDescent="0.25">
      <c r="A27" s="79"/>
      <c r="B27" s="81"/>
      <c r="C27" s="81"/>
      <c r="D27" s="81"/>
      <c r="E27" s="82"/>
      <c r="F27" s="462"/>
      <c r="G27" s="462"/>
      <c r="H27" s="462"/>
      <c r="I27" s="462"/>
      <c r="J27" s="462"/>
      <c r="K27" s="462"/>
      <c r="L27" s="462"/>
      <c r="M27" s="462"/>
      <c r="N27" s="462"/>
      <c r="O27" s="462"/>
      <c r="P27" s="462"/>
      <c r="Q27" s="457"/>
      <c r="R27" s="71"/>
    </row>
    <row r="28" spans="1:18" ht="13" x14ac:dyDescent="0.25">
      <c r="A28" s="77" t="s">
        <v>86</v>
      </c>
      <c r="B28" s="69"/>
      <c r="C28" s="69"/>
      <c r="D28" s="69"/>
      <c r="E28" s="70"/>
      <c r="F28" s="457"/>
      <c r="G28" s="457"/>
      <c r="H28" s="457"/>
      <c r="I28" s="457"/>
      <c r="J28" s="457"/>
      <c r="K28" s="457"/>
      <c r="L28" s="457"/>
      <c r="M28" s="457"/>
      <c r="N28" s="457"/>
      <c r="O28" s="457"/>
      <c r="P28" s="457"/>
      <c r="Q28" s="457"/>
      <c r="R28" s="56"/>
    </row>
    <row r="29" spans="1:18" ht="13" x14ac:dyDescent="0.25">
      <c r="A29" s="77"/>
      <c r="B29" s="69" t="s">
        <v>87</v>
      </c>
      <c r="C29" s="69"/>
      <c r="D29" s="69"/>
      <c r="E29" s="70">
        <v>77</v>
      </c>
      <c r="F29" s="461">
        <v>0</v>
      </c>
      <c r="G29" s="461">
        <v>0</v>
      </c>
      <c r="H29" s="461">
        <v>0</v>
      </c>
      <c r="I29" s="461">
        <v>0</v>
      </c>
      <c r="J29" s="461">
        <v>0</v>
      </c>
      <c r="K29" s="461">
        <v>0</v>
      </c>
      <c r="L29" s="461">
        <v>0</v>
      </c>
      <c r="M29" s="461">
        <v>0</v>
      </c>
      <c r="N29" s="461">
        <v>0</v>
      </c>
      <c r="O29" s="461">
        <v>0</v>
      </c>
      <c r="P29" s="461">
        <v>0</v>
      </c>
      <c r="Q29" s="457">
        <f>SUM(F29:P29)</f>
        <v>0</v>
      </c>
      <c r="R29" s="71"/>
    </row>
    <row r="30" spans="1:18" ht="13" x14ac:dyDescent="0.25">
      <c r="A30" s="79"/>
      <c r="B30" s="81"/>
      <c r="C30" s="81"/>
      <c r="D30" s="81"/>
      <c r="E30" s="82"/>
      <c r="F30" s="462"/>
      <c r="G30" s="462"/>
      <c r="H30" s="462"/>
      <c r="I30" s="462"/>
      <c r="J30" s="462"/>
      <c r="K30" s="462"/>
      <c r="L30" s="462"/>
      <c r="M30" s="462"/>
      <c r="N30" s="462"/>
      <c r="O30" s="462"/>
      <c r="P30" s="462"/>
      <c r="Q30" s="457"/>
      <c r="R30" s="56"/>
    </row>
    <row r="31" spans="1:18" ht="13" x14ac:dyDescent="0.25">
      <c r="A31" s="77" t="s">
        <v>88</v>
      </c>
      <c r="B31" s="69"/>
      <c r="C31" s="78"/>
      <c r="D31" s="69"/>
      <c r="E31" s="70"/>
      <c r="F31" s="461">
        <v>0</v>
      </c>
      <c r="G31" s="461">
        <v>0</v>
      </c>
      <c r="H31" s="461">
        <v>0</v>
      </c>
      <c r="I31" s="461">
        <v>0</v>
      </c>
      <c r="J31" s="461">
        <v>0</v>
      </c>
      <c r="K31" s="461">
        <v>0</v>
      </c>
      <c r="L31" s="461">
        <v>0</v>
      </c>
      <c r="M31" s="461">
        <v>0</v>
      </c>
      <c r="N31" s="461">
        <v>0</v>
      </c>
      <c r="O31" s="461">
        <v>0</v>
      </c>
      <c r="P31" s="461">
        <v>0</v>
      </c>
      <c r="Q31" s="457">
        <f>SUM(F31:P31)</f>
        <v>0</v>
      </c>
      <c r="R31" s="71"/>
    </row>
    <row r="32" spans="1:18" x14ac:dyDescent="0.25">
      <c r="A32" s="75"/>
      <c r="B32" s="73"/>
      <c r="C32" s="73"/>
      <c r="D32" s="73"/>
      <c r="E32" s="74"/>
      <c r="F32" s="463"/>
      <c r="G32" s="463"/>
      <c r="H32" s="463"/>
      <c r="I32" s="463"/>
      <c r="J32" s="463"/>
      <c r="K32" s="463"/>
      <c r="L32" s="463"/>
      <c r="M32" s="463"/>
      <c r="N32" s="463"/>
      <c r="O32" s="463"/>
      <c r="P32" s="463"/>
      <c r="Q32" s="463"/>
      <c r="R32" s="71"/>
    </row>
    <row r="33" spans="1:18" ht="15.5" x14ac:dyDescent="0.25">
      <c r="A33" s="84"/>
      <c r="B33" s="85"/>
      <c r="C33" s="85"/>
      <c r="D33" s="86"/>
      <c r="E33" s="87"/>
      <c r="F33" s="464"/>
      <c r="G33" s="464"/>
      <c r="H33" s="464"/>
      <c r="I33" s="464"/>
      <c r="J33" s="464"/>
      <c r="K33" s="464"/>
      <c r="L33" s="464"/>
      <c r="M33" s="464"/>
      <c r="N33" s="464"/>
      <c r="O33" s="464"/>
      <c r="P33" s="464"/>
      <c r="Q33" s="464"/>
      <c r="R33" s="71"/>
    </row>
    <row r="34" spans="1:18" ht="14" x14ac:dyDescent="0.25">
      <c r="A34" s="88"/>
      <c r="B34" s="89"/>
      <c r="C34" s="89"/>
      <c r="D34" s="90" t="s">
        <v>31</v>
      </c>
      <c r="E34" s="91"/>
      <c r="F34" s="465">
        <f t="shared" ref="F34:Q34" si="1">SUM(F12,F21,F23,F26,F29,F31)</f>
        <v>0</v>
      </c>
      <c r="G34" s="465">
        <f t="shared" si="1"/>
        <v>0</v>
      </c>
      <c r="H34" s="465">
        <f t="shared" si="1"/>
        <v>0</v>
      </c>
      <c r="I34" s="465">
        <f>SUM(I12,I21,I23,I26,I29,I31)</f>
        <v>0</v>
      </c>
      <c r="J34" s="465">
        <f>SUM(J12,J21,J23,J26,J29,J31)</f>
        <v>0</v>
      </c>
      <c r="K34" s="465">
        <f t="shared" si="1"/>
        <v>0</v>
      </c>
      <c r="L34" s="465">
        <f t="shared" si="1"/>
        <v>0</v>
      </c>
      <c r="M34" s="465">
        <f t="shared" si="1"/>
        <v>0</v>
      </c>
      <c r="N34" s="465">
        <f>SUM(N12,N21,N23,N26,N29,N31)</f>
        <v>0</v>
      </c>
      <c r="O34" s="465">
        <f>SUM(O12,O21,O23,O26,O29,O31)</f>
        <v>0</v>
      </c>
      <c r="P34" s="465">
        <f t="shared" si="1"/>
        <v>0</v>
      </c>
      <c r="Q34" s="465">
        <f t="shared" si="1"/>
        <v>0</v>
      </c>
      <c r="R34" s="71"/>
    </row>
    <row r="35" spans="1:18" ht="16" thickBot="1" x14ac:dyDescent="0.3">
      <c r="A35" s="92"/>
      <c r="B35" s="93"/>
      <c r="C35" s="93"/>
      <c r="D35" s="94"/>
      <c r="E35" s="95"/>
      <c r="F35" s="96"/>
      <c r="G35" s="96"/>
      <c r="H35" s="96"/>
      <c r="I35" s="96"/>
      <c r="J35" s="96"/>
      <c r="K35" s="96"/>
      <c r="L35" s="96"/>
      <c r="M35" s="96"/>
      <c r="N35" s="96"/>
      <c r="O35" s="96"/>
      <c r="P35" s="96"/>
      <c r="Q35" s="96"/>
      <c r="R35" s="56"/>
    </row>
    <row r="36" spans="1:18" ht="13.5" thickTop="1" x14ac:dyDescent="0.3">
      <c r="A36" s="97"/>
      <c r="B36" s="98"/>
      <c r="C36" s="98"/>
      <c r="D36" s="98"/>
      <c r="E36" s="99"/>
      <c r="F36" s="100"/>
      <c r="G36" s="100"/>
      <c r="H36" s="100"/>
      <c r="I36" s="100"/>
      <c r="J36" s="100"/>
      <c r="K36" s="100"/>
      <c r="L36" s="100"/>
      <c r="M36" s="100"/>
      <c r="N36" s="100"/>
      <c r="O36" s="100"/>
      <c r="P36" s="100"/>
      <c r="Q36" s="98"/>
      <c r="R36" s="56"/>
    </row>
    <row r="37" spans="1:18" ht="13.5" thickBot="1" x14ac:dyDescent="0.35">
      <c r="A37" s="97"/>
      <c r="B37" s="98"/>
      <c r="C37" s="98"/>
      <c r="D37" s="98"/>
      <c r="E37" s="99"/>
      <c r="F37" s="100"/>
      <c r="G37" s="100"/>
      <c r="H37" s="100"/>
      <c r="I37" s="100"/>
      <c r="J37" s="100"/>
      <c r="K37" s="100"/>
      <c r="L37" s="100"/>
      <c r="M37" s="100"/>
      <c r="N37" s="100"/>
      <c r="O37" s="100"/>
      <c r="P37" s="100"/>
      <c r="Q37" s="98"/>
      <c r="R37" s="56"/>
    </row>
    <row r="38" spans="1:18" ht="13" thickTop="1" x14ac:dyDescent="0.25">
      <c r="A38" s="982" t="s">
        <v>89</v>
      </c>
      <c r="B38" s="983"/>
      <c r="C38" s="983"/>
      <c r="D38" s="984"/>
      <c r="E38" s="988" t="s">
        <v>3</v>
      </c>
      <c r="F38" s="976" t="s">
        <v>113</v>
      </c>
      <c r="G38" s="977"/>
      <c r="H38" s="977"/>
      <c r="I38" s="977"/>
      <c r="J38" s="978"/>
      <c r="K38" s="976" t="s">
        <v>114</v>
      </c>
      <c r="L38" s="977"/>
      <c r="M38" s="977"/>
      <c r="N38" s="977"/>
      <c r="O38" s="978"/>
      <c r="P38" s="974" t="s">
        <v>115</v>
      </c>
      <c r="Q38" s="974" t="s">
        <v>31</v>
      </c>
      <c r="R38" s="56"/>
    </row>
    <row r="39" spans="1:18" x14ac:dyDescent="0.25">
      <c r="A39" s="985"/>
      <c r="B39" s="986"/>
      <c r="C39" s="986"/>
      <c r="D39" s="987"/>
      <c r="E39" s="989"/>
      <c r="F39" s="979"/>
      <c r="G39" s="980"/>
      <c r="H39" s="980"/>
      <c r="I39" s="980"/>
      <c r="J39" s="981"/>
      <c r="K39" s="979"/>
      <c r="L39" s="980"/>
      <c r="M39" s="980"/>
      <c r="N39" s="980"/>
      <c r="O39" s="981"/>
      <c r="P39" s="975"/>
      <c r="Q39" s="975"/>
      <c r="R39" s="56"/>
    </row>
    <row r="40" spans="1:18" ht="26" x14ac:dyDescent="0.25">
      <c r="A40" s="450"/>
      <c r="B40" s="451"/>
      <c r="C40" s="451"/>
      <c r="D40" s="451"/>
      <c r="E40" s="70"/>
      <c r="F40" s="970" t="s">
        <v>180</v>
      </c>
      <c r="G40" s="971"/>
      <c r="H40" s="971"/>
      <c r="I40" s="972"/>
      <c r="J40" s="61" t="s">
        <v>115</v>
      </c>
      <c r="K40" s="970" t="s">
        <v>180</v>
      </c>
      <c r="L40" s="971"/>
      <c r="M40" s="971"/>
      <c r="N40" s="973"/>
      <c r="O40" s="453" t="s">
        <v>115</v>
      </c>
      <c r="P40" s="447"/>
      <c r="Q40" s="447"/>
      <c r="R40" s="56"/>
    </row>
    <row r="41" spans="1:18" ht="31.5" customHeight="1" x14ac:dyDescent="0.3">
      <c r="A41" s="57"/>
      <c r="B41" s="58"/>
      <c r="C41" s="59"/>
      <c r="D41" s="59"/>
      <c r="E41" s="60"/>
      <c r="F41" s="61" t="s">
        <v>229</v>
      </c>
      <c r="G41" s="61" t="s">
        <v>116</v>
      </c>
      <c r="H41" s="61" t="s">
        <v>122</v>
      </c>
      <c r="I41" s="61" t="s">
        <v>179</v>
      </c>
      <c r="J41" s="61"/>
      <c r="K41" s="61" t="s">
        <v>229</v>
      </c>
      <c r="L41" s="61" t="s">
        <v>116</v>
      </c>
      <c r="M41" s="61" t="s">
        <v>122</v>
      </c>
      <c r="N41" s="61" t="s">
        <v>179</v>
      </c>
      <c r="O41" s="61"/>
      <c r="P41" s="62"/>
      <c r="Q41" s="62"/>
      <c r="R41" s="56"/>
    </row>
    <row r="42" spans="1:18" ht="13" x14ac:dyDescent="0.3">
      <c r="A42" s="57"/>
      <c r="B42" s="58"/>
      <c r="C42" s="59"/>
      <c r="D42" s="59"/>
      <c r="E42" s="60"/>
      <c r="F42" s="63"/>
      <c r="G42" s="63"/>
      <c r="H42" s="63"/>
      <c r="I42" s="63"/>
      <c r="J42" s="63"/>
      <c r="K42" s="63"/>
      <c r="L42" s="63"/>
      <c r="M42" s="63"/>
      <c r="N42" s="63"/>
      <c r="O42" s="63"/>
      <c r="P42" s="63"/>
      <c r="Q42" s="63"/>
      <c r="R42" s="56"/>
    </row>
    <row r="43" spans="1:18" x14ac:dyDescent="0.25">
      <c r="A43" s="64"/>
      <c r="B43" s="65"/>
      <c r="C43" s="65"/>
      <c r="D43" s="65"/>
      <c r="E43" s="66"/>
      <c r="F43" s="67"/>
      <c r="G43" s="67"/>
      <c r="H43" s="67"/>
      <c r="I43" s="67"/>
      <c r="J43" s="67"/>
      <c r="K43" s="67"/>
      <c r="L43" s="67"/>
      <c r="M43" s="67"/>
      <c r="N43" s="67"/>
      <c r="O43" s="67"/>
      <c r="P43" s="67"/>
      <c r="Q43" s="67"/>
      <c r="R43" s="56"/>
    </row>
    <row r="44" spans="1:18" ht="13" x14ac:dyDescent="0.25">
      <c r="A44" s="68" t="s">
        <v>90</v>
      </c>
      <c r="B44" s="69"/>
      <c r="C44" s="69"/>
      <c r="D44" s="69"/>
      <c r="E44" s="70" t="s">
        <v>91</v>
      </c>
      <c r="F44" s="457">
        <f t="shared" ref="F44:Q44" si="2">SUM(F46,F47,F48,F51,F54,F56,F57,F59)</f>
        <v>0</v>
      </c>
      <c r="G44" s="457">
        <f t="shared" si="2"/>
        <v>0</v>
      </c>
      <c r="H44" s="457">
        <f t="shared" si="2"/>
        <v>0</v>
      </c>
      <c r="I44" s="457">
        <f>SUM(I46,I47,I48,I51,I54,I56,I57,I59)</f>
        <v>0</v>
      </c>
      <c r="J44" s="457">
        <f>SUM(J46,J47,J48,J51,J54,J56,J57,J59)</f>
        <v>0</v>
      </c>
      <c r="K44" s="457">
        <f t="shared" si="2"/>
        <v>0</v>
      </c>
      <c r="L44" s="457">
        <f t="shared" si="2"/>
        <v>0</v>
      </c>
      <c r="M44" s="457">
        <f t="shared" si="2"/>
        <v>0</v>
      </c>
      <c r="N44" s="457">
        <f>SUM(N46,N47,N48,N51,N54,N56,N57,N59)</f>
        <v>0</v>
      </c>
      <c r="O44" s="457">
        <f>SUM(O46,O47,O48,O51,O54,O56,O57,O59)</f>
        <v>0</v>
      </c>
      <c r="P44" s="457">
        <f t="shared" si="2"/>
        <v>0</v>
      </c>
      <c r="Q44" s="457">
        <f t="shared" si="2"/>
        <v>0</v>
      </c>
      <c r="R44" s="56"/>
    </row>
    <row r="45" spans="1:18" x14ac:dyDescent="0.25">
      <c r="A45" s="72"/>
      <c r="B45" s="73"/>
      <c r="C45" s="73"/>
      <c r="D45" s="73"/>
      <c r="E45" s="74"/>
      <c r="F45" s="458"/>
      <c r="G45" s="458"/>
      <c r="H45" s="458"/>
      <c r="I45" s="458"/>
      <c r="J45" s="458"/>
      <c r="K45" s="458"/>
      <c r="L45" s="458"/>
      <c r="M45" s="458"/>
      <c r="N45" s="458"/>
      <c r="O45" s="458"/>
      <c r="P45" s="458"/>
      <c r="Q45" s="458"/>
      <c r="R45" s="56"/>
    </row>
    <row r="46" spans="1:18" x14ac:dyDescent="0.25">
      <c r="A46" s="75"/>
      <c r="B46" s="73" t="s">
        <v>92</v>
      </c>
      <c r="C46" s="73"/>
      <c r="D46" s="73"/>
      <c r="E46" s="74">
        <v>60</v>
      </c>
      <c r="F46" s="460">
        <v>0</v>
      </c>
      <c r="G46" s="460">
        <v>0</v>
      </c>
      <c r="H46" s="460">
        <v>0</v>
      </c>
      <c r="I46" s="460">
        <v>0</v>
      </c>
      <c r="J46" s="460">
        <v>0</v>
      </c>
      <c r="K46" s="460">
        <v>0</v>
      </c>
      <c r="L46" s="460">
        <v>0</v>
      </c>
      <c r="M46" s="460">
        <v>0</v>
      </c>
      <c r="N46" s="460">
        <v>0</v>
      </c>
      <c r="O46" s="460">
        <v>0</v>
      </c>
      <c r="P46" s="460">
        <v>0</v>
      </c>
      <c r="Q46" s="458">
        <f>SUM(F46:P46)</f>
        <v>0</v>
      </c>
      <c r="R46" s="56"/>
    </row>
    <row r="47" spans="1:18" x14ac:dyDescent="0.25">
      <c r="A47" s="75"/>
      <c r="B47" s="76" t="s">
        <v>93</v>
      </c>
      <c r="C47" s="73"/>
      <c r="D47" s="73"/>
      <c r="E47" s="74">
        <v>61</v>
      </c>
      <c r="F47" s="460">
        <v>0</v>
      </c>
      <c r="G47" s="460">
        <v>0</v>
      </c>
      <c r="H47" s="460">
        <v>0</v>
      </c>
      <c r="I47" s="460">
        <v>0</v>
      </c>
      <c r="J47" s="460">
        <v>0</v>
      </c>
      <c r="K47" s="460">
        <v>0</v>
      </c>
      <c r="L47" s="460">
        <v>0</v>
      </c>
      <c r="M47" s="460">
        <v>0</v>
      </c>
      <c r="N47" s="460">
        <v>0</v>
      </c>
      <c r="O47" s="460">
        <v>0</v>
      </c>
      <c r="P47" s="460">
        <v>0</v>
      </c>
      <c r="Q47" s="458">
        <f>SUM(F47:P47)</f>
        <v>0</v>
      </c>
      <c r="R47" s="56"/>
    </row>
    <row r="48" spans="1:18" x14ac:dyDescent="0.25">
      <c r="A48" s="75"/>
      <c r="B48" s="73" t="s">
        <v>94</v>
      </c>
      <c r="C48" s="73"/>
      <c r="D48" s="73"/>
      <c r="E48" s="74">
        <v>62</v>
      </c>
      <c r="F48" s="460">
        <v>0</v>
      </c>
      <c r="G48" s="460">
        <v>0</v>
      </c>
      <c r="H48" s="460">
        <v>0</v>
      </c>
      <c r="I48" s="460">
        <v>0</v>
      </c>
      <c r="J48" s="460">
        <v>0</v>
      </c>
      <c r="K48" s="460">
        <v>0</v>
      </c>
      <c r="L48" s="460">
        <v>0</v>
      </c>
      <c r="M48" s="460">
        <v>0</v>
      </c>
      <c r="N48" s="460">
        <v>0</v>
      </c>
      <c r="O48" s="460">
        <v>0</v>
      </c>
      <c r="P48" s="460">
        <v>0</v>
      </c>
      <c r="Q48" s="458">
        <f>SUM(F48:P48)</f>
        <v>0</v>
      </c>
      <c r="R48" s="56"/>
    </row>
    <row r="49" spans="1:18" x14ac:dyDescent="0.25">
      <c r="A49" s="75"/>
      <c r="B49" s="76" t="s">
        <v>95</v>
      </c>
      <c r="C49" s="73"/>
      <c r="D49" s="73"/>
      <c r="E49" s="74"/>
      <c r="F49" s="458"/>
      <c r="G49" s="458"/>
      <c r="H49" s="458"/>
      <c r="I49" s="458"/>
      <c r="J49" s="458"/>
      <c r="K49" s="458"/>
      <c r="L49" s="458"/>
      <c r="M49" s="458"/>
      <c r="N49" s="458"/>
      <c r="O49" s="458"/>
      <c r="P49" s="458"/>
      <c r="Q49" s="458"/>
      <c r="R49" s="56"/>
    </row>
    <row r="50" spans="1:18" x14ac:dyDescent="0.25">
      <c r="A50" s="75"/>
      <c r="B50" s="73" t="s">
        <v>96</v>
      </c>
      <c r="C50" s="73"/>
      <c r="D50" s="73"/>
      <c r="E50" s="74"/>
      <c r="F50" s="458"/>
      <c r="G50" s="458"/>
      <c r="H50" s="458"/>
      <c r="I50" s="458"/>
      <c r="J50" s="458"/>
      <c r="K50" s="458"/>
      <c r="L50" s="458"/>
      <c r="M50" s="458"/>
      <c r="N50" s="458"/>
      <c r="O50" s="458"/>
      <c r="P50" s="458"/>
      <c r="Q50" s="458"/>
      <c r="R50" s="56"/>
    </row>
    <row r="51" spans="1:18" x14ac:dyDescent="0.25">
      <c r="A51" s="75"/>
      <c r="B51" s="73" t="s">
        <v>97</v>
      </c>
      <c r="C51" s="76"/>
      <c r="D51" s="73"/>
      <c r="E51" s="74">
        <v>630</v>
      </c>
      <c r="F51" s="460">
        <v>0</v>
      </c>
      <c r="G51" s="460">
        <v>0</v>
      </c>
      <c r="H51" s="460">
        <v>0</v>
      </c>
      <c r="I51" s="460">
        <v>0</v>
      </c>
      <c r="J51" s="460">
        <v>0</v>
      </c>
      <c r="K51" s="460">
        <v>0</v>
      </c>
      <c r="L51" s="460">
        <v>0</v>
      </c>
      <c r="M51" s="460">
        <v>0</v>
      </c>
      <c r="N51" s="460">
        <v>0</v>
      </c>
      <c r="O51" s="460">
        <v>0</v>
      </c>
      <c r="P51" s="460">
        <v>0</v>
      </c>
      <c r="Q51" s="458">
        <f>SUM(F51:P51)</f>
        <v>0</v>
      </c>
      <c r="R51" s="56"/>
    </row>
    <row r="52" spans="1:18" x14ac:dyDescent="0.25">
      <c r="A52" s="75"/>
      <c r="B52" s="73" t="s">
        <v>98</v>
      </c>
      <c r="C52" s="76"/>
      <c r="D52" s="73"/>
      <c r="E52" s="74"/>
      <c r="F52" s="458"/>
      <c r="G52" s="458"/>
      <c r="H52" s="458"/>
      <c r="I52" s="458"/>
      <c r="J52" s="458"/>
      <c r="K52" s="458"/>
      <c r="L52" s="458"/>
      <c r="M52" s="458"/>
      <c r="N52" s="458"/>
      <c r="O52" s="458"/>
      <c r="P52" s="458"/>
      <c r="Q52" s="458"/>
      <c r="R52" s="56"/>
    </row>
    <row r="53" spans="1:18" x14ac:dyDescent="0.25">
      <c r="A53" s="75"/>
      <c r="B53" s="73" t="s">
        <v>99</v>
      </c>
      <c r="C53" s="76"/>
      <c r="D53" s="73"/>
      <c r="E53" s="74"/>
      <c r="F53" s="458"/>
      <c r="G53" s="458"/>
      <c r="H53" s="458"/>
      <c r="I53" s="458"/>
      <c r="J53" s="458"/>
      <c r="K53" s="458"/>
      <c r="L53" s="458"/>
      <c r="M53" s="458"/>
      <c r="N53" s="458"/>
      <c r="O53" s="458"/>
      <c r="P53" s="458"/>
      <c r="Q53" s="458"/>
      <c r="R53" s="56"/>
    </row>
    <row r="54" spans="1:18" x14ac:dyDescent="0.25">
      <c r="A54" s="75"/>
      <c r="B54" s="73" t="s">
        <v>100</v>
      </c>
      <c r="C54" s="76"/>
      <c r="D54" s="73"/>
      <c r="E54" s="74" t="s">
        <v>101</v>
      </c>
      <c r="F54" s="460">
        <v>0</v>
      </c>
      <c r="G54" s="460">
        <v>0</v>
      </c>
      <c r="H54" s="460">
        <v>0</v>
      </c>
      <c r="I54" s="460">
        <v>0</v>
      </c>
      <c r="J54" s="460">
        <v>0</v>
      </c>
      <c r="K54" s="460">
        <v>0</v>
      </c>
      <c r="L54" s="460">
        <v>0</v>
      </c>
      <c r="M54" s="460">
        <v>0</v>
      </c>
      <c r="N54" s="460">
        <v>0</v>
      </c>
      <c r="O54" s="460">
        <v>0</v>
      </c>
      <c r="P54" s="460">
        <v>0</v>
      </c>
      <c r="Q54" s="458">
        <f>SUM(F54:P54)</f>
        <v>0</v>
      </c>
      <c r="R54" s="56"/>
    </row>
    <row r="55" spans="1:18" x14ac:dyDescent="0.25">
      <c r="A55" s="75"/>
      <c r="B55" s="73" t="s">
        <v>102</v>
      </c>
      <c r="C55" s="76"/>
      <c r="D55" s="73"/>
      <c r="E55" s="74"/>
      <c r="F55" s="458"/>
      <c r="G55" s="458"/>
      <c r="H55" s="458"/>
      <c r="I55" s="458"/>
      <c r="J55" s="458"/>
      <c r="K55" s="458"/>
      <c r="L55" s="458"/>
      <c r="M55" s="458"/>
      <c r="N55" s="458"/>
      <c r="O55" s="458"/>
      <c r="P55" s="458"/>
      <c r="Q55" s="458"/>
      <c r="R55" s="56"/>
    </row>
    <row r="56" spans="1:18" x14ac:dyDescent="0.25">
      <c r="A56" s="75"/>
      <c r="B56" s="73" t="s">
        <v>103</v>
      </c>
      <c r="C56" s="76"/>
      <c r="D56" s="73"/>
      <c r="E56" s="74" t="s">
        <v>104</v>
      </c>
      <c r="F56" s="460">
        <v>0</v>
      </c>
      <c r="G56" s="460">
        <v>0</v>
      </c>
      <c r="H56" s="460">
        <v>0</v>
      </c>
      <c r="I56" s="460">
        <v>0</v>
      </c>
      <c r="J56" s="460">
        <v>0</v>
      </c>
      <c r="K56" s="460">
        <v>0</v>
      </c>
      <c r="L56" s="460">
        <v>0</v>
      </c>
      <c r="M56" s="460">
        <v>0</v>
      </c>
      <c r="N56" s="460">
        <v>0</v>
      </c>
      <c r="O56" s="460">
        <v>0</v>
      </c>
      <c r="P56" s="460">
        <v>0</v>
      </c>
      <c r="Q56" s="458">
        <f>SUM(F56:P56)</f>
        <v>0</v>
      </c>
      <c r="R56" s="56"/>
    </row>
    <row r="57" spans="1:18" x14ac:dyDescent="0.25">
      <c r="A57" s="75"/>
      <c r="B57" s="73" t="s">
        <v>105</v>
      </c>
      <c r="C57" s="73"/>
      <c r="D57" s="73"/>
      <c r="E57" s="74" t="s">
        <v>106</v>
      </c>
      <c r="F57" s="460">
        <v>0</v>
      </c>
      <c r="G57" s="460">
        <v>0</v>
      </c>
      <c r="H57" s="460">
        <v>0</v>
      </c>
      <c r="I57" s="460">
        <v>0</v>
      </c>
      <c r="J57" s="460">
        <v>0</v>
      </c>
      <c r="K57" s="460">
        <v>0</v>
      </c>
      <c r="L57" s="460">
        <v>0</v>
      </c>
      <c r="M57" s="460">
        <v>0</v>
      </c>
      <c r="N57" s="460">
        <v>0</v>
      </c>
      <c r="O57" s="460">
        <v>0</v>
      </c>
      <c r="P57" s="460">
        <v>0</v>
      </c>
      <c r="Q57" s="458">
        <f>SUM(F57:P57)</f>
        <v>0</v>
      </c>
      <c r="R57" s="56"/>
    </row>
    <row r="58" spans="1:18" x14ac:dyDescent="0.25">
      <c r="A58" s="75"/>
      <c r="B58" s="76" t="s">
        <v>107</v>
      </c>
      <c r="C58" s="73"/>
      <c r="D58" s="73"/>
      <c r="E58" s="74"/>
      <c r="F58" s="458"/>
      <c r="G58" s="458"/>
      <c r="H58" s="458"/>
      <c r="I58" s="458"/>
      <c r="J58" s="458"/>
      <c r="K58" s="458"/>
      <c r="L58" s="458"/>
      <c r="M58" s="458"/>
      <c r="N58" s="458"/>
      <c r="O58" s="458"/>
      <c r="P58" s="458"/>
      <c r="Q58" s="458"/>
      <c r="R58" s="56"/>
    </row>
    <row r="59" spans="1:18" x14ac:dyDescent="0.25">
      <c r="A59" s="75"/>
      <c r="B59" s="76" t="s">
        <v>108</v>
      </c>
      <c r="C59" s="73"/>
      <c r="D59" s="73"/>
      <c r="E59" s="74">
        <v>649</v>
      </c>
      <c r="F59" s="460">
        <v>0</v>
      </c>
      <c r="G59" s="460">
        <v>0</v>
      </c>
      <c r="H59" s="460">
        <v>0</v>
      </c>
      <c r="I59" s="460">
        <v>0</v>
      </c>
      <c r="J59" s="460">
        <v>0</v>
      </c>
      <c r="K59" s="460">
        <v>0</v>
      </c>
      <c r="L59" s="460">
        <v>0</v>
      </c>
      <c r="M59" s="460">
        <v>0</v>
      </c>
      <c r="N59" s="460">
        <v>0</v>
      </c>
      <c r="O59" s="460">
        <v>0</v>
      </c>
      <c r="P59" s="460">
        <v>0</v>
      </c>
      <c r="Q59" s="458">
        <f>SUM(F59:P59)</f>
        <v>0</v>
      </c>
      <c r="R59" s="56"/>
    </row>
    <row r="60" spans="1:18" x14ac:dyDescent="0.25">
      <c r="A60" s="75"/>
      <c r="B60" s="76"/>
      <c r="C60" s="73"/>
      <c r="D60" s="73"/>
      <c r="E60" s="74"/>
      <c r="F60" s="458"/>
      <c r="G60" s="458"/>
      <c r="H60" s="458"/>
      <c r="I60" s="458"/>
      <c r="J60" s="458"/>
      <c r="K60" s="458"/>
      <c r="L60" s="458"/>
      <c r="M60" s="458"/>
      <c r="N60" s="458"/>
      <c r="O60" s="458"/>
      <c r="P60" s="458"/>
      <c r="Q60" s="458"/>
      <c r="R60" s="56"/>
    </row>
    <row r="61" spans="1:18" ht="13" x14ac:dyDescent="0.25">
      <c r="A61" s="77" t="s">
        <v>109</v>
      </c>
      <c r="B61" s="78"/>
      <c r="C61" s="69"/>
      <c r="D61" s="69"/>
      <c r="E61" s="70">
        <v>65</v>
      </c>
      <c r="F61" s="461">
        <v>0</v>
      </c>
      <c r="G61" s="461">
        <v>0</v>
      </c>
      <c r="H61" s="461">
        <v>0</v>
      </c>
      <c r="I61" s="461">
        <v>0</v>
      </c>
      <c r="J61" s="461">
        <v>0</v>
      </c>
      <c r="K61" s="461">
        <v>0</v>
      </c>
      <c r="L61" s="461">
        <v>0</v>
      </c>
      <c r="M61" s="461">
        <v>0</v>
      </c>
      <c r="N61" s="461">
        <v>0</v>
      </c>
      <c r="O61" s="461">
        <v>0</v>
      </c>
      <c r="P61" s="461">
        <v>0</v>
      </c>
      <c r="Q61" s="457">
        <f>SUM(F61:P61)</f>
        <v>0</v>
      </c>
      <c r="R61" s="56"/>
    </row>
    <row r="62" spans="1:18" ht="13" x14ac:dyDescent="0.25">
      <c r="A62" s="79"/>
      <c r="B62" s="80"/>
      <c r="C62" s="81"/>
      <c r="D62" s="81"/>
      <c r="E62" s="82"/>
      <c r="F62" s="462"/>
      <c r="G62" s="462"/>
      <c r="H62" s="462"/>
      <c r="I62" s="462"/>
      <c r="J62" s="462"/>
      <c r="K62" s="462"/>
      <c r="L62" s="462"/>
      <c r="M62" s="462"/>
      <c r="N62" s="462"/>
      <c r="O62" s="462"/>
      <c r="P62" s="462"/>
      <c r="Q62" s="457"/>
      <c r="R62" s="56"/>
    </row>
    <row r="63" spans="1:18" ht="13" x14ac:dyDescent="0.25">
      <c r="A63" s="77" t="s">
        <v>110</v>
      </c>
      <c r="B63" s="78"/>
      <c r="C63" s="69"/>
      <c r="D63" s="69"/>
      <c r="E63" s="70">
        <v>66</v>
      </c>
      <c r="F63" s="461">
        <v>0</v>
      </c>
      <c r="G63" s="461">
        <v>0</v>
      </c>
      <c r="H63" s="461">
        <v>0</v>
      </c>
      <c r="I63" s="461">
        <v>0</v>
      </c>
      <c r="J63" s="461">
        <v>0</v>
      </c>
      <c r="K63" s="461">
        <v>0</v>
      </c>
      <c r="L63" s="461">
        <v>0</v>
      </c>
      <c r="M63" s="461">
        <v>0</v>
      </c>
      <c r="N63" s="461">
        <v>0</v>
      </c>
      <c r="O63" s="461">
        <v>0</v>
      </c>
      <c r="P63" s="461">
        <v>0</v>
      </c>
      <c r="Q63" s="457">
        <f>SUM(F63:P63)</f>
        <v>0</v>
      </c>
      <c r="R63" s="56"/>
    </row>
    <row r="64" spans="1:18" x14ac:dyDescent="0.25">
      <c r="A64" s="75"/>
      <c r="B64" s="73"/>
      <c r="C64" s="73"/>
      <c r="D64" s="73"/>
      <c r="E64" s="74"/>
      <c r="F64" s="458"/>
      <c r="G64" s="458"/>
      <c r="H64" s="458"/>
      <c r="I64" s="458"/>
      <c r="J64" s="458"/>
      <c r="K64" s="458"/>
      <c r="L64" s="458"/>
      <c r="M64" s="458"/>
      <c r="N64" s="458"/>
      <c r="O64" s="458"/>
      <c r="P64" s="458"/>
      <c r="Q64" s="458"/>
      <c r="R64" s="56"/>
    </row>
    <row r="65" spans="1:18" ht="13" x14ac:dyDescent="0.25">
      <c r="A65" s="77" t="s">
        <v>111</v>
      </c>
      <c r="B65" s="69"/>
      <c r="C65" s="69"/>
      <c r="D65" s="69"/>
      <c r="E65" s="70"/>
      <c r="F65" s="457"/>
      <c r="G65" s="457"/>
      <c r="H65" s="457"/>
      <c r="I65" s="457"/>
      <c r="J65" s="457"/>
      <c r="K65" s="457"/>
      <c r="L65" s="457"/>
      <c r="M65" s="457"/>
      <c r="N65" s="457"/>
      <c r="O65" s="457"/>
      <c r="P65" s="457"/>
      <c r="Q65" s="457"/>
      <c r="R65" s="56"/>
    </row>
    <row r="66" spans="1:18" ht="13" x14ac:dyDescent="0.25">
      <c r="A66" s="77" t="s">
        <v>85</v>
      </c>
      <c r="B66" s="69"/>
      <c r="C66" s="69"/>
      <c r="D66" s="69"/>
      <c r="E66" s="70">
        <v>680</v>
      </c>
      <c r="F66" s="461">
        <v>0</v>
      </c>
      <c r="G66" s="461">
        <v>0</v>
      </c>
      <c r="H66" s="461">
        <v>0</v>
      </c>
      <c r="I66" s="461">
        <v>0</v>
      </c>
      <c r="J66" s="461">
        <v>0</v>
      </c>
      <c r="K66" s="461">
        <v>0</v>
      </c>
      <c r="L66" s="461">
        <v>0</v>
      </c>
      <c r="M66" s="461">
        <v>0</v>
      </c>
      <c r="N66" s="461">
        <v>0</v>
      </c>
      <c r="O66" s="461">
        <v>0</v>
      </c>
      <c r="P66" s="461">
        <v>0</v>
      </c>
      <c r="Q66" s="457">
        <f>SUM(F66:P66)</f>
        <v>0</v>
      </c>
      <c r="R66" s="56"/>
    </row>
    <row r="67" spans="1:18" ht="13" x14ac:dyDescent="0.25">
      <c r="A67" s="79"/>
      <c r="B67" s="81"/>
      <c r="C67" s="81"/>
      <c r="D67" s="81"/>
      <c r="E67" s="82"/>
      <c r="F67" s="462"/>
      <c r="G67" s="462"/>
      <c r="H67" s="462"/>
      <c r="I67" s="462"/>
      <c r="J67" s="462"/>
      <c r="K67" s="462"/>
      <c r="L67" s="462"/>
      <c r="M67" s="462"/>
      <c r="N67" s="462"/>
      <c r="O67" s="462"/>
      <c r="P67" s="462"/>
      <c r="Q67" s="462"/>
      <c r="R67" s="56"/>
    </row>
    <row r="68" spans="1:18" ht="13" x14ac:dyDescent="0.25">
      <c r="A68" s="77" t="s">
        <v>121</v>
      </c>
      <c r="B68" s="69"/>
      <c r="C68" s="69"/>
      <c r="D68" s="69"/>
      <c r="E68" s="70" t="s">
        <v>112</v>
      </c>
      <c r="F68" s="461">
        <v>0</v>
      </c>
      <c r="G68" s="461">
        <v>0</v>
      </c>
      <c r="H68" s="461">
        <v>0</v>
      </c>
      <c r="I68" s="461">
        <v>0</v>
      </c>
      <c r="J68" s="461">
        <v>0</v>
      </c>
      <c r="K68" s="461">
        <v>0</v>
      </c>
      <c r="L68" s="461">
        <v>0</v>
      </c>
      <c r="M68" s="461">
        <v>0</v>
      </c>
      <c r="N68" s="461">
        <v>0</v>
      </c>
      <c r="O68" s="461">
        <v>0</v>
      </c>
      <c r="P68" s="461">
        <v>0</v>
      </c>
      <c r="Q68" s="457">
        <f>SUM(F68:P68)</f>
        <v>0</v>
      </c>
      <c r="R68" s="56"/>
    </row>
    <row r="69" spans="1:18" ht="13" x14ac:dyDescent="0.25">
      <c r="A69" s="79"/>
      <c r="B69" s="81"/>
      <c r="C69" s="81"/>
      <c r="D69" s="81"/>
      <c r="E69" s="82"/>
      <c r="F69" s="462"/>
      <c r="G69" s="462"/>
      <c r="H69" s="462"/>
      <c r="I69" s="462"/>
      <c r="J69" s="462"/>
      <c r="K69" s="462"/>
      <c r="L69" s="462"/>
      <c r="M69" s="462"/>
      <c r="N69" s="462"/>
      <c r="O69" s="462"/>
      <c r="P69" s="462"/>
      <c r="Q69" s="462"/>
      <c r="R69" s="56"/>
    </row>
    <row r="70" spans="1:18" ht="13" x14ac:dyDescent="0.25">
      <c r="A70" s="77" t="s">
        <v>117</v>
      </c>
      <c r="B70" s="69"/>
      <c r="C70" s="78"/>
      <c r="D70" s="69"/>
      <c r="E70" s="70"/>
      <c r="F70" s="461">
        <v>0</v>
      </c>
      <c r="G70" s="461">
        <v>0</v>
      </c>
      <c r="H70" s="461">
        <v>0</v>
      </c>
      <c r="I70" s="461">
        <v>0</v>
      </c>
      <c r="J70" s="461">
        <v>0</v>
      </c>
      <c r="K70" s="461">
        <v>0</v>
      </c>
      <c r="L70" s="461">
        <v>0</v>
      </c>
      <c r="M70" s="461">
        <v>0</v>
      </c>
      <c r="N70" s="461">
        <v>0</v>
      </c>
      <c r="O70" s="461">
        <v>0</v>
      </c>
      <c r="P70" s="461">
        <v>0</v>
      </c>
      <c r="Q70" s="457">
        <f>SUM(F70:P70)</f>
        <v>0</v>
      </c>
      <c r="R70" s="56"/>
    </row>
    <row r="71" spans="1:18" x14ac:dyDescent="0.25">
      <c r="A71" s="75"/>
      <c r="B71" s="73"/>
      <c r="C71" s="73"/>
      <c r="D71" s="73"/>
      <c r="E71" s="74"/>
      <c r="F71" s="458"/>
      <c r="G71" s="458"/>
      <c r="H71" s="458"/>
      <c r="I71" s="458"/>
      <c r="J71" s="458"/>
      <c r="K71" s="458"/>
      <c r="L71" s="458"/>
      <c r="M71" s="458"/>
      <c r="N71" s="458"/>
      <c r="O71" s="458"/>
      <c r="P71" s="458"/>
      <c r="Q71" s="458"/>
      <c r="R71" s="56"/>
    </row>
    <row r="72" spans="1:18" ht="15.5" x14ac:dyDescent="0.25">
      <c r="A72" s="84"/>
      <c r="B72" s="85"/>
      <c r="C72" s="85"/>
      <c r="D72" s="86"/>
      <c r="E72" s="87"/>
      <c r="F72" s="464"/>
      <c r="G72" s="464"/>
      <c r="H72" s="464"/>
      <c r="I72" s="464"/>
      <c r="J72" s="464"/>
      <c r="K72" s="464"/>
      <c r="L72" s="464"/>
      <c r="M72" s="464"/>
      <c r="N72" s="464"/>
      <c r="O72" s="464"/>
      <c r="P72" s="464"/>
      <c r="Q72" s="464"/>
      <c r="R72" s="56"/>
    </row>
    <row r="73" spans="1:18" ht="14" x14ac:dyDescent="0.25">
      <c r="A73" s="88"/>
      <c r="B73" s="89"/>
      <c r="C73" s="89"/>
      <c r="D73" s="90" t="s">
        <v>31</v>
      </c>
      <c r="E73" s="91"/>
      <c r="F73" s="465">
        <f t="shared" ref="F73:Q73" si="3">SUM(F44,F61,F63,F66,F68,F70)</f>
        <v>0</v>
      </c>
      <c r="G73" s="465">
        <f t="shared" si="3"/>
        <v>0</v>
      </c>
      <c r="H73" s="465">
        <f t="shared" si="3"/>
        <v>0</v>
      </c>
      <c r="I73" s="465">
        <f>SUM(I44,I61,I63,I66,I68,I70)</f>
        <v>0</v>
      </c>
      <c r="J73" s="465">
        <f>SUM(J44,J61,J63,J66,J68,J70)</f>
        <v>0</v>
      </c>
      <c r="K73" s="465">
        <f t="shared" si="3"/>
        <v>0</v>
      </c>
      <c r="L73" s="465">
        <f t="shared" si="3"/>
        <v>0</v>
      </c>
      <c r="M73" s="465">
        <f t="shared" si="3"/>
        <v>0</v>
      </c>
      <c r="N73" s="465">
        <f>SUM(N44,N61,N63,N66,N68,N70)</f>
        <v>0</v>
      </c>
      <c r="O73" s="465">
        <f>SUM(O44,O61,O63,O66,O68,O70)</f>
        <v>0</v>
      </c>
      <c r="P73" s="465">
        <f t="shared" si="3"/>
        <v>0</v>
      </c>
      <c r="Q73" s="465">
        <f t="shared" si="3"/>
        <v>0</v>
      </c>
      <c r="R73" s="56"/>
    </row>
    <row r="74" spans="1:18" ht="16" thickBot="1" x14ac:dyDescent="0.3">
      <c r="A74" s="92"/>
      <c r="B74" s="93"/>
      <c r="C74" s="93"/>
      <c r="D74" s="94"/>
      <c r="E74" s="95"/>
      <c r="F74" s="96"/>
      <c r="G74" s="96"/>
      <c r="H74" s="96"/>
      <c r="I74" s="96"/>
      <c r="J74" s="96"/>
      <c r="K74" s="96"/>
      <c r="L74" s="96"/>
      <c r="M74" s="96"/>
      <c r="N74" s="96"/>
      <c r="O74" s="96"/>
      <c r="P74" s="96"/>
      <c r="Q74" s="96"/>
      <c r="R74" s="71"/>
    </row>
    <row r="75" spans="1:18" ht="13" thickTop="1" x14ac:dyDescent="0.25">
      <c r="A75" s="101"/>
      <c r="B75" s="101"/>
      <c r="C75" s="101"/>
      <c r="D75" s="101"/>
      <c r="E75" s="102"/>
      <c r="F75" s="103"/>
      <c r="G75" s="103"/>
      <c r="H75" s="103"/>
      <c r="I75" s="103"/>
      <c r="J75" s="103"/>
      <c r="K75" s="103"/>
      <c r="L75" s="103"/>
      <c r="M75" s="103"/>
      <c r="N75" s="103"/>
      <c r="O75" s="103"/>
      <c r="P75" s="103"/>
      <c r="Q75" s="103"/>
      <c r="R75" s="71"/>
    </row>
    <row r="76" spans="1:18" ht="13" x14ac:dyDescent="0.25">
      <c r="A76" s="101"/>
      <c r="B76" s="101"/>
      <c r="C76" s="101"/>
      <c r="D76" s="101" t="s">
        <v>118</v>
      </c>
      <c r="E76" s="102"/>
      <c r="F76" s="103">
        <f t="shared" ref="F76:Q76" si="4">SUM(F12,F21,F23,F26,F29)</f>
        <v>0</v>
      </c>
      <c r="G76" s="103">
        <f t="shared" si="4"/>
        <v>0</v>
      </c>
      <c r="H76" s="103">
        <f t="shared" si="4"/>
        <v>0</v>
      </c>
      <c r="I76" s="103">
        <f t="shared" si="4"/>
        <v>0</v>
      </c>
      <c r="J76" s="103">
        <f t="shared" si="4"/>
        <v>0</v>
      </c>
      <c r="K76" s="103">
        <f t="shared" si="4"/>
        <v>0</v>
      </c>
      <c r="L76" s="103">
        <f t="shared" si="4"/>
        <v>0</v>
      </c>
      <c r="M76" s="103">
        <f t="shared" si="4"/>
        <v>0</v>
      </c>
      <c r="N76" s="103">
        <f t="shared" si="4"/>
        <v>0</v>
      </c>
      <c r="O76" s="103">
        <f t="shared" si="4"/>
        <v>0</v>
      </c>
      <c r="P76" s="103">
        <f t="shared" si="4"/>
        <v>0</v>
      </c>
      <c r="Q76" s="466">
        <f t="shared" si="4"/>
        <v>0</v>
      </c>
      <c r="R76" s="71"/>
    </row>
    <row r="77" spans="1:18" ht="13" x14ac:dyDescent="0.25">
      <c r="A77" s="101"/>
      <c r="B77" s="101"/>
      <c r="C77" s="101"/>
      <c r="D77" s="101" t="s">
        <v>119</v>
      </c>
      <c r="E77" s="102"/>
      <c r="F77" s="103">
        <f t="shared" ref="F77:Q77" si="5">SUM(F44,F61,F63,F66,F68)</f>
        <v>0</v>
      </c>
      <c r="G77" s="103">
        <f t="shared" si="5"/>
        <v>0</v>
      </c>
      <c r="H77" s="103">
        <f t="shared" si="5"/>
        <v>0</v>
      </c>
      <c r="I77" s="103">
        <f>SUM(I44,I61,I63,I66,I68)</f>
        <v>0</v>
      </c>
      <c r="J77" s="103">
        <f>SUM(J44,J61,J63,J66,J68)</f>
        <v>0</v>
      </c>
      <c r="K77" s="103">
        <f t="shared" si="5"/>
        <v>0</v>
      </c>
      <c r="L77" s="103">
        <f t="shared" si="5"/>
        <v>0</v>
      </c>
      <c r="M77" s="103">
        <f t="shared" si="5"/>
        <v>0</v>
      </c>
      <c r="N77" s="103">
        <f>SUM(N44,N61,N63,N66,N68)</f>
        <v>0</v>
      </c>
      <c r="O77" s="103">
        <f>SUM(O44,O61,O63,O66,O68)</f>
        <v>0</v>
      </c>
      <c r="P77" s="103">
        <f t="shared" si="5"/>
        <v>0</v>
      </c>
      <c r="Q77" s="466">
        <f t="shared" si="5"/>
        <v>0</v>
      </c>
      <c r="R77" s="71"/>
    </row>
    <row r="78" spans="1:18" ht="13" x14ac:dyDescent="0.25">
      <c r="A78" s="101"/>
      <c r="B78" s="101"/>
      <c r="C78" s="101"/>
      <c r="D78" s="101" t="s">
        <v>120</v>
      </c>
      <c r="E78" s="102"/>
      <c r="F78" s="103">
        <f t="shared" ref="F78:Q78" si="6">F76-F77</f>
        <v>0</v>
      </c>
      <c r="G78" s="103">
        <f t="shared" si="6"/>
        <v>0</v>
      </c>
      <c r="H78" s="103">
        <f t="shared" si="6"/>
        <v>0</v>
      </c>
      <c r="I78" s="103">
        <f>I76-I77</f>
        <v>0</v>
      </c>
      <c r="J78" s="103">
        <f>J76-J77</f>
        <v>0</v>
      </c>
      <c r="K78" s="103">
        <f t="shared" si="6"/>
        <v>0</v>
      </c>
      <c r="L78" s="103">
        <f t="shared" si="6"/>
        <v>0</v>
      </c>
      <c r="M78" s="103">
        <f t="shared" si="6"/>
        <v>0</v>
      </c>
      <c r="N78" s="103">
        <f>N76-N77</f>
        <v>0</v>
      </c>
      <c r="O78" s="103">
        <f>O76-O77</f>
        <v>0</v>
      </c>
      <c r="P78" s="103">
        <f t="shared" si="6"/>
        <v>0</v>
      </c>
      <c r="Q78" s="466">
        <f t="shared" si="6"/>
        <v>0</v>
      </c>
      <c r="R78" s="71"/>
    </row>
    <row r="79" spans="1:18" x14ac:dyDescent="0.25">
      <c r="A79" s="101"/>
      <c r="B79" s="101"/>
      <c r="C79" s="101"/>
      <c r="D79" s="101"/>
      <c r="E79" s="102"/>
      <c r="F79" s="101"/>
      <c r="G79" s="101"/>
      <c r="H79" s="101"/>
      <c r="I79" s="101"/>
      <c r="J79" s="101"/>
      <c r="K79" s="101"/>
      <c r="L79" s="101"/>
      <c r="M79" s="101"/>
      <c r="N79" s="101"/>
      <c r="O79" s="101"/>
      <c r="P79" s="101"/>
      <c r="Q79" s="101"/>
      <c r="R79" s="101"/>
    </row>
    <row r="80" spans="1:18" ht="13" x14ac:dyDescent="0.25">
      <c r="A80" s="101"/>
      <c r="B80" s="101"/>
      <c r="C80" s="101"/>
      <c r="D80" s="104"/>
      <c r="E80" s="102"/>
      <c r="F80" s="101"/>
      <c r="G80" s="101"/>
      <c r="H80" s="101"/>
      <c r="I80" s="101"/>
      <c r="J80" s="101"/>
      <c r="K80" s="101"/>
      <c r="L80" s="101"/>
      <c r="M80" s="101"/>
      <c r="N80" s="101"/>
      <c r="O80" s="101"/>
      <c r="P80" s="101"/>
      <c r="Q80" s="101"/>
      <c r="R80" s="101"/>
    </row>
    <row r="81" spans="1:18" x14ac:dyDescent="0.25">
      <c r="A81" s="101"/>
      <c r="B81" s="101"/>
      <c r="C81" s="101"/>
      <c r="D81" s="101"/>
      <c r="E81" s="102"/>
      <c r="F81" s="101"/>
      <c r="G81" s="101"/>
      <c r="H81" s="101"/>
      <c r="I81" s="101"/>
      <c r="J81" s="101"/>
      <c r="K81" s="101"/>
      <c r="L81" s="101"/>
      <c r="M81" s="101"/>
      <c r="N81" s="101"/>
      <c r="O81" s="101"/>
      <c r="P81" s="101"/>
      <c r="Q81" s="101"/>
      <c r="R81" s="101"/>
    </row>
    <row r="82" spans="1:18" x14ac:dyDescent="0.25">
      <c r="A82" s="101"/>
      <c r="B82" s="101"/>
      <c r="C82" s="101"/>
      <c r="D82" s="101"/>
      <c r="E82" s="102"/>
      <c r="F82" s="101"/>
      <c r="G82" s="101"/>
      <c r="H82" s="101"/>
      <c r="I82" s="101"/>
      <c r="J82" s="101"/>
      <c r="K82" s="101"/>
      <c r="L82" s="101"/>
      <c r="M82" s="101"/>
      <c r="N82" s="101"/>
      <c r="O82" s="101"/>
      <c r="P82" s="101"/>
      <c r="Q82" s="101"/>
      <c r="R82" s="101"/>
    </row>
    <row r="83" spans="1:18" x14ac:dyDescent="0.25">
      <c r="A83" s="101"/>
      <c r="B83" s="101"/>
      <c r="C83" s="101"/>
      <c r="D83" s="101"/>
      <c r="E83" s="102"/>
      <c r="F83" s="101"/>
      <c r="G83" s="101"/>
      <c r="H83" s="101"/>
      <c r="I83" s="101"/>
      <c r="J83" s="101"/>
      <c r="K83" s="101"/>
      <c r="L83" s="101"/>
      <c r="M83" s="101"/>
      <c r="N83" s="101"/>
      <c r="O83" s="101"/>
      <c r="P83" s="101"/>
      <c r="Q83" s="101"/>
      <c r="R83" s="101"/>
    </row>
    <row r="84" spans="1:18" x14ac:dyDescent="0.25">
      <c r="A84" s="101"/>
      <c r="B84" s="101"/>
      <c r="C84" s="101"/>
      <c r="D84" s="101"/>
      <c r="E84" s="102"/>
      <c r="F84" s="101"/>
      <c r="G84" s="101"/>
      <c r="H84" s="101"/>
      <c r="I84" s="101"/>
      <c r="J84" s="101"/>
      <c r="K84" s="101"/>
      <c r="L84" s="101"/>
      <c r="M84" s="101"/>
      <c r="N84" s="101"/>
      <c r="O84" s="101"/>
      <c r="P84" s="101"/>
      <c r="Q84" s="101"/>
      <c r="R84" s="101"/>
    </row>
    <row r="85" spans="1:18" x14ac:dyDescent="0.25">
      <c r="A85" s="101"/>
      <c r="B85" s="101"/>
      <c r="C85" s="101"/>
      <c r="D85" s="101"/>
      <c r="E85" s="102"/>
      <c r="F85" s="101"/>
      <c r="G85" s="101"/>
      <c r="H85" s="101"/>
      <c r="I85" s="101"/>
      <c r="J85" s="101"/>
      <c r="K85" s="101"/>
      <c r="L85" s="101"/>
      <c r="M85" s="101"/>
      <c r="N85" s="101"/>
      <c r="O85" s="101"/>
      <c r="P85" s="101"/>
      <c r="Q85" s="101"/>
      <c r="R85" s="101"/>
    </row>
    <row r="86" spans="1:18" x14ac:dyDescent="0.25">
      <c r="A86" s="101"/>
      <c r="B86" s="101"/>
      <c r="C86" s="101"/>
      <c r="D86" s="101"/>
      <c r="E86" s="102"/>
      <c r="F86" s="101"/>
      <c r="G86" s="101"/>
      <c r="H86" s="101"/>
      <c r="I86" s="101"/>
      <c r="J86" s="101"/>
      <c r="K86" s="101"/>
      <c r="L86" s="101"/>
      <c r="M86" s="101"/>
      <c r="N86" s="101"/>
      <c r="O86" s="101"/>
      <c r="P86" s="101"/>
      <c r="Q86" s="101"/>
      <c r="R86" s="101"/>
    </row>
    <row r="87" spans="1:18" x14ac:dyDescent="0.25">
      <c r="A87" s="101"/>
      <c r="B87" s="101"/>
      <c r="C87" s="101"/>
      <c r="D87" s="101"/>
      <c r="E87" s="102"/>
      <c r="F87" s="101"/>
      <c r="G87" s="101"/>
      <c r="H87" s="101"/>
      <c r="I87" s="101"/>
      <c r="J87" s="101"/>
      <c r="K87" s="101"/>
      <c r="L87" s="101"/>
      <c r="M87" s="101"/>
      <c r="N87" s="101"/>
      <c r="O87" s="101"/>
      <c r="P87" s="101"/>
      <c r="Q87" s="101"/>
      <c r="R87" s="101"/>
    </row>
    <row r="88" spans="1:18" x14ac:dyDescent="0.25">
      <c r="A88" s="101"/>
      <c r="B88" s="101"/>
      <c r="C88" s="101"/>
      <c r="D88" s="101"/>
      <c r="E88" s="102"/>
      <c r="F88" s="101"/>
      <c r="G88" s="101"/>
      <c r="H88" s="101"/>
      <c r="I88" s="101"/>
      <c r="J88" s="101"/>
      <c r="K88" s="101"/>
      <c r="L88" s="101"/>
      <c r="M88" s="101"/>
      <c r="N88" s="101"/>
      <c r="O88" s="101"/>
      <c r="P88" s="101"/>
      <c r="Q88" s="101"/>
      <c r="R88" s="101"/>
    </row>
    <row r="89" spans="1:18" x14ac:dyDescent="0.25">
      <c r="A89" s="101"/>
      <c r="B89" s="101"/>
      <c r="C89" s="101"/>
      <c r="D89" s="101"/>
      <c r="E89" s="102"/>
      <c r="F89" s="101"/>
      <c r="G89" s="101"/>
      <c r="H89" s="101"/>
      <c r="I89" s="101"/>
      <c r="J89" s="101"/>
      <c r="K89" s="101"/>
      <c r="L89" s="101"/>
      <c r="M89" s="101"/>
      <c r="N89" s="101"/>
      <c r="O89" s="101"/>
      <c r="P89" s="101"/>
      <c r="Q89" s="101"/>
      <c r="R89" s="101"/>
    </row>
    <row r="90" spans="1:18" x14ac:dyDescent="0.25">
      <c r="A90" s="101"/>
      <c r="B90" s="101"/>
      <c r="C90" s="101"/>
      <c r="D90" s="101"/>
      <c r="E90" s="102"/>
      <c r="F90" s="101"/>
      <c r="G90" s="101"/>
      <c r="H90" s="101"/>
      <c r="I90" s="101"/>
      <c r="J90" s="101"/>
      <c r="K90" s="101"/>
      <c r="L90" s="101"/>
      <c r="M90" s="101"/>
      <c r="N90" s="101"/>
      <c r="O90" s="101"/>
      <c r="P90" s="101"/>
      <c r="Q90" s="101"/>
      <c r="R90" s="101"/>
    </row>
    <row r="91" spans="1:18" x14ac:dyDescent="0.25">
      <c r="A91" s="101"/>
      <c r="B91" s="101"/>
      <c r="C91" s="101"/>
      <c r="D91" s="101"/>
      <c r="E91" s="102"/>
      <c r="F91" s="101"/>
      <c r="G91" s="101"/>
      <c r="H91" s="101"/>
      <c r="I91" s="101"/>
      <c r="J91" s="101"/>
      <c r="K91" s="101"/>
      <c r="L91" s="101"/>
      <c r="M91" s="101"/>
      <c r="N91" s="101"/>
      <c r="O91" s="101"/>
      <c r="P91" s="101"/>
      <c r="Q91" s="101"/>
      <c r="R91" s="101"/>
    </row>
    <row r="92" spans="1:18" x14ac:dyDescent="0.25">
      <c r="A92" s="101"/>
      <c r="B92" s="101"/>
      <c r="C92" s="101"/>
      <c r="D92" s="101"/>
      <c r="E92" s="102"/>
      <c r="F92" s="101"/>
      <c r="G92" s="101"/>
      <c r="H92" s="101"/>
      <c r="I92" s="101"/>
      <c r="J92" s="101"/>
      <c r="K92" s="101"/>
      <c r="L92" s="101"/>
      <c r="M92" s="101"/>
      <c r="N92" s="101"/>
      <c r="O92" s="101"/>
      <c r="P92" s="101"/>
      <c r="Q92" s="101"/>
      <c r="R92" s="101"/>
    </row>
    <row r="93" spans="1:18" x14ac:dyDescent="0.25">
      <c r="A93" s="101"/>
      <c r="B93" s="101"/>
      <c r="C93" s="101"/>
      <c r="D93" s="101"/>
      <c r="E93" s="102"/>
      <c r="F93" s="101"/>
      <c r="G93" s="101"/>
      <c r="H93" s="101"/>
      <c r="I93" s="101"/>
      <c r="J93" s="101"/>
      <c r="K93" s="101"/>
      <c r="L93" s="101"/>
      <c r="M93" s="101"/>
      <c r="N93" s="101"/>
      <c r="O93" s="101"/>
      <c r="P93" s="101"/>
      <c r="Q93" s="101"/>
      <c r="R93" s="101"/>
    </row>
    <row r="94" spans="1:18" x14ac:dyDescent="0.25">
      <c r="A94" s="101"/>
      <c r="B94" s="101"/>
      <c r="C94" s="101"/>
      <c r="D94" s="101"/>
      <c r="E94" s="102"/>
      <c r="F94" s="101"/>
      <c r="G94" s="101"/>
      <c r="H94" s="101"/>
      <c r="I94" s="101"/>
      <c r="J94" s="101"/>
      <c r="K94" s="101"/>
      <c r="L94" s="101"/>
      <c r="M94" s="101"/>
      <c r="N94" s="101"/>
      <c r="O94" s="101"/>
      <c r="P94" s="101"/>
      <c r="Q94" s="101"/>
      <c r="R94" s="101"/>
    </row>
    <row r="95" spans="1:18" x14ac:dyDescent="0.25">
      <c r="A95" s="101"/>
      <c r="B95" s="101"/>
      <c r="C95" s="101"/>
      <c r="D95" s="101"/>
      <c r="E95" s="102"/>
      <c r="F95" s="101"/>
      <c r="G95" s="101"/>
      <c r="H95" s="101"/>
      <c r="I95" s="101"/>
      <c r="J95" s="101"/>
      <c r="K95" s="101"/>
      <c r="L95" s="101"/>
      <c r="M95" s="101"/>
      <c r="N95" s="101"/>
      <c r="O95" s="101"/>
      <c r="P95" s="101"/>
      <c r="Q95" s="101"/>
      <c r="R95" s="101"/>
    </row>
    <row r="96" spans="1:18" x14ac:dyDescent="0.25">
      <c r="A96" s="101"/>
      <c r="B96" s="101"/>
      <c r="C96" s="101"/>
      <c r="D96" s="101"/>
      <c r="E96" s="102"/>
      <c r="F96" s="101"/>
      <c r="G96" s="101"/>
      <c r="H96" s="101"/>
      <c r="I96" s="101"/>
      <c r="J96" s="101"/>
      <c r="K96" s="101"/>
      <c r="L96" s="101"/>
      <c r="M96" s="101"/>
      <c r="N96" s="101"/>
      <c r="O96" s="101"/>
      <c r="P96" s="101"/>
      <c r="Q96" s="101"/>
      <c r="R96" s="101"/>
    </row>
    <row r="97" spans="1:18" x14ac:dyDescent="0.25">
      <c r="A97" s="101"/>
      <c r="B97" s="101"/>
      <c r="C97" s="101"/>
      <c r="D97" s="101"/>
      <c r="E97" s="102"/>
      <c r="F97" s="101"/>
      <c r="G97" s="101"/>
      <c r="H97" s="101"/>
      <c r="I97" s="101"/>
      <c r="J97" s="101"/>
      <c r="K97" s="101"/>
      <c r="L97" s="101"/>
      <c r="M97" s="101"/>
      <c r="N97" s="101"/>
      <c r="O97" s="101"/>
      <c r="P97" s="101"/>
      <c r="Q97" s="101"/>
      <c r="R97" s="101"/>
    </row>
    <row r="98" spans="1:18" x14ac:dyDescent="0.25">
      <c r="A98" s="101"/>
      <c r="B98" s="101"/>
      <c r="C98" s="101"/>
      <c r="D98" s="101"/>
      <c r="E98" s="102"/>
      <c r="F98" s="101"/>
      <c r="G98" s="101"/>
      <c r="H98" s="101"/>
      <c r="I98" s="101"/>
      <c r="J98" s="101"/>
      <c r="K98" s="101"/>
      <c r="L98" s="101"/>
      <c r="M98" s="101"/>
      <c r="N98" s="101"/>
      <c r="O98" s="101"/>
      <c r="P98" s="101"/>
      <c r="Q98" s="101"/>
      <c r="R98" s="101"/>
    </row>
    <row r="99" spans="1:18" x14ac:dyDescent="0.25">
      <c r="A99" s="101"/>
      <c r="B99" s="101"/>
      <c r="C99" s="101"/>
      <c r="D99" s="101"/>
      <c r="E99" s="102"/>
      <c r="F99" s="101"/>
      <c r="G99" s="101"/>
      <c r="H99" s="101"/>
      <c r="I99" s="101"/>
      <c r="J99" s="101"/>
      <c r="K99" s="101"/>
      <c r="L99" s="101"/>
      <c r="M99" s="101"/>
      <c r="N99" s="101"/>
      <c r="O99" s="101"/>
      <c r="P99" s="101"/>
      <c r="Q99" s="101"/>
      <c r="R99" s="101"/>
    </row>
    <row r="100" spans="1:18" x14ac:dyDescent="0.25">
      <c r="A100" s="101"/>
      <c r="B100" s="101"/>
      <c r="C100" s="101"/>
      <c r="D100" s="101"/>
      <c r="E100" s="102"/>
      <c r="F100" s="101"/>
      <c r="G100" s="101"/>
      <c r="H100" s="101"/>
      <c r="I100" s="101"/>
      <c r="J100" s="101"/>
      <c r="K100" s="101"/>
      <c r="L100" s="101"/>
      <c r="M100" s="101"/>
      <c r="N100" s="101"/>
      <c r="O100" s="101"/>
      <c r="P100" s="101"/>
      <c r="Q100" s="101"/>
      <c r="R100" s="101"/>
    </row>
    <row r="101" spans="1:18" x14ac:dyDescent="0.25">
      <c r="A101" s="101"/>
      <c r="B101" s="101"/>
      <c r="C101" s="101"/>
      <c r="D101" s="101"/>
      <c r="E101" s="102"/>
      <c r="F101" s="101"/>
      <c r="G101" s="101"/>
      <c r="H101" s="101"/>
      <c r="I101" s="101"/>
      <c r="J101" s="101"/>
      <c r="K101" s="101"/>
      <c r="L101" s="101"/>
      <c r="M101" s="101"/>
      <c r="N101" s="101"/>
      <c r="O101" s="101"/>
      <c r="P101" s="101"/>
      <c r="Q101" s="101"/>
      <c r="R101" s="101"/>
    </row>
    <row r="102" spans="1:18" x14ac:dyDescent="0.25">
      <c r="A102" s="101"/>
      <c r="B102" s="101"/>
      <c r="C102" s="101"/>
      <c r="D102" s="101"/>
      <c r="E102" s="102"/>
      <c r="F102" s="101"/>
      <c r="G102" s="101"/>
      <c r="H102" s="101"/>
      <c r="I102" s="101"/>
      <c r="J102" s="101"/>
      <c r="K102" s="101"/>
      <c r="L102" s="101"/>
      <c r="M102" s="101"/>
      <c r="N102" s="101"/>
      <c r="O102" s="101"/>
      <c r="P102" s="101"/>
      <c r="Q102" s="101"/>
      <c r="R102" s="101"/>
    </row>
    <row r="103" spans="1:18" x14ac:dyDescent="0.25">
      <c r="A103" s="101"/>
      <c r="B103" s="101"/>
      <c r="C103" s="101"/>
      <c r="D103" s="101"/>
      <c r="E103" s="102"/>
      <c r="F103" s="101"/>
      <c r="G103" s="101"/>
      <c r="H103" s="101"/>
      <c r="I103" s="101"/>
      <c r="J103" s="101"/>
      <c r="K103" s="101"/>
      <c r="L103" s="101"/>
      <c r="M103" s="101"/>
      <c r="N103" s="101"/>
      <c r="O103" s="101"/>
      <c r="P103" s="101"/>
      <c r="Q103" s="101"/>
      <c r="R103" s="101"/>
    </row>
    <row r="104" spans="1:18" x14ac:dyDescent="0.25">
      <c r="A104" s="101"/>
      <c r="B104" s="101"/>
      <c r="C104" s="101"/>
      <c r="D104" s="101"/>
      <c r="E104" s="102"/>
      <c r="F104" s="101"/>
      <c r="G104" s="101"/>
      <c r="H104" s="101"/>
      <c r="I104" s="101"/>
      <c r="J104" s="101"/>
      <c r="K104" s="101"/>
      <c r="L104" s="101"/>
      <c r="M104" s="101"/>
      <c r="N104" s="101"/>
      <c r="O104" s="101"/>
      <c r="P104" s="101"/>
      <c r="Q104" s="101"/>
      <c r="R104" s="101"/>
    </row>
    <row r="105" spans="1:18" x14ac:dyDescent="0.25">
      <c r="A105" s="101"/>
      <c r="B105" s="101"/>
      <c r="C105" s="101"/>
      <c r="D105" s="101"/>
      <c r="E105" s="102"/>
      <c r="F105" s="101"/>
      <c r="G105" s="101"/>
      <c r="H105" s="101"/>
      <c r="I105" s="101"/>
      <c r="J105" s="101"/>
      <c r="K105" s="101"/>
      <c r="L105" s="101"/>
      <c r="M105" s="101"/>
      <c r="N105" s="101"/>
      <c r="O105" s="101"/>
      <c r="P105" s="101"/>
      <c r="Q105" s="101"/>
      <c r="R105" s="101"/>
    </row>
    <row r="106" spans="1:18" x14ac:dyDescent="0.25">
      <c r="A106" s="101"/>
      <c r="B106" s="101"/>
      <c r="C106" s="101"/>
      <c r="D106" s="101"/>
      <c r="E106" s="102"/>
      <c r="F106" s="101"/>
      <c r="G106" s="101"/>
      <c r="H106" s="101"/>
      <c r="I106" s="101"/>
      <c r="J106" s="101"/>
      <c r="K106" s="101"/>
      <c r="L106" s="101"/>
      <c r="M106" s="101"/>
      <c r="N106" s="101"/>
      <c r="O106" s="101"/>
      <c r="P106" s="101"/>
      <c r="Q106" s="101"/>
      <c r="R106" s="101"/>
    </row>
    <row r="107" spans="1:18" x14ac:dyDescent="0.25">
      <c r="A107" s="101"/>
      <c r="B107" s="101"/>
      <c r="C107" s="101"/>
      <c r="D107" s="101"/>
      <c r="E107" s="102"/>
      <c r="F107" s="101"/>
      <c r="G107" s="101"/>
      <c r="H107" s="101"/>
      <c r="I107" s="101"/>
      <c r="J107" s="101"/>
      <c r="K107" s="101"/>
      <c r="L107" s="101"/>
      <c r="M107" s="101"/>
      <c r="N107" s="101"/>
      <c r="O107" s="101"/>
      <c r="P107" s="101"/>
      <c r="Q107" s="101"/>
      <c r="R107" s="101"/>
    </row>
    <row r="108" spans="1:18" x14ac:dyDescent="0.25">
      <c r="A108" s="101"/>
      <c r="B108" s="101"/>
      <c r="C108" s="101"/>
      <c r="D108" s="101"/>
      <c r="E108" s="102"/>
      <c r="F108" s="101"/>
      <c r="G108" s="101"/>
      <c r="H108" s="101"/>
      <c r="I108" s="101"/>
      <c r="J108" s="101"/>
      <c r="K108" s="101"/>
      <c r="L108" s="101"/>
      <c r="M108" s="101"/>
      <c r="N108" s="101"/>
      <c r="O108" s="101"/>
      <c r="P108" s="101"/>
      <c r="Q108" s="101"/>
      <c r="R108" s="101"/>
    </row>
    <row r="109" spans="1:18" x14ac:dyDescent="0.25">
      <c r="A109" s="101"/>
      <c r="B109" s="101"/>
      <c r="C109" s="101"/>
      <c r="D109" s="101"/>
      <c r="E109" s="102"/>
      <c r="F109" s="101"/>
      <c r="G109" s="101"/>
      <c r="H109" s="101"/>
      <c r="I109" s="101"/>
      <c r="J109" s="101"/>
      <c r="K109" s="101"/>
      <c r="L109" s="101"/>
      <c r="M109" s="101"/>
      <c r="N109" s="101"/>
      <c r="O109" s="101"/>
      <c r="P109" s="101"/>
      <c r="Q109" s="101"/>
      <c r="R109" s="101"/>
    </row>
    <row r="110" spans="1:18" x14ac:dyDescent="0.25">
      <c r="A110" s="101"/>
      <c r="B110" s="101"/>
      <c r="C110" s="101"/>
      <c r="D110" s="101"/>
      <c r="E110" s="102"/>
      <c r="F110" s="101"/>
      <c r="G110" s="101"/>
      <c r="H110" s="101"/>
      <c r="I110" s="101"/>
      <c r="J110" s="101"/>
      <c r="K110" s="101"/>
      <c r="L110" s="101"/>
      <c r="M110" s="101"/>
      <c r="N110" s="101"/>
      <c r="O110" s="101"/>
      <c r="P110" s="101"/>
      <c r="Q110" s="101"/>
      <c r="R110" s="101"/>
    </row>
    <row r="111" spans="1:18" x14ac:dyDescent="0.25">
      <c r="A111" s="101"/>
      <c r="B111" s="101"/>
      <c r="C111" s="101"/>
      <c r="D111" s="101"/>
      <c r="E111" s="102"/>
      <c r="F111" s="101"/>
      <c r="G111" s="101"/>
      <c r="H111" s="101"/>
      <c r="I111" s="101"/>
      <c r="J111" s="101"/>
      <c r="K111" s="101"/>
      <c r="L111" s="101"/>
      <c r="M111" s="101"/>
      <c r="N111" s="101"/>
      <c r="O111" s="101"/>
      <c r="P111" s="101"/>
      <c r="Q111" s="101"/>
      <c r="R111" s="101"/>
    </row>
    <row r="112" spans="1:18" x14ac:dyDescent="0.25">
      <c r="A112" s="101"/>
      <c r="B112" s="101"/>
      <c r="C112" s="101"/>
      <c r="D112" s="101"/>
      <c r="E112" s="102"/>
      <c r="F112" s="101"/>
      <c r="G112" s="101"/>
      <c r="H112" s="101"/>
      <c r="I112" s="101"/>
      <c r="J112" s="101"/>
      <c r="K112" s="101"/>
      <c r="L112" s="101"/>
      <c r="M112" s="101"/>
      <c r="N112" s="101"/>
      <c r="O112" s="101"/>
      <c r="P112" s="101"/>
      <c r="Q112" s="101"/>
      <c r="R112" s="101"/>
    </row>
    <row r="113" spans="1:18" x14ac:dyDescent="0.25">
      <c r="A113" s="101"/>
      <c r="B113" s="101"/>
      <c r="C113" s="101"/>
      <c r="D113" s="101"/>
      <c r="E113" s="102"/>
      <c r="F113" s="101"/>
      <c r="G113" s="101"/>
      <c r="H113" s="101"/>
      <c r="I113" s="101"/>
      <c r="J113" s="101"/>
      <c r="K113" s="101"/>
      <c r="L113" s="101"/>
      <c r="M113" s="101"/>
      <c r="N113" s="101"/>
      <c r="O113" s="101"/>
      <c r="P113" s="101"/>
      <c r="Q113" s="101"/>
      <c r="R113" s="101"/>
    </row>
    <row r="114" spans="1:18" x14ac:dyDescent="0.25">
      <c r="A114" s="101"/>
      <c r="B114" s="101"/>
      <c r="C114" s="101"/>
      <c r="D114" s="101"/>
      <c r="E114" s="102"/>
      <c r="F114" s="101"/>
      <c r="G114" s="101"/>
      <c r="H114" s="101"/>
      <c r="I114" s="101"/>
      <c r="J114" s="101"/>
      <c r="K114" s="101"/>
      <c r="L114" s="101"/>
      <c r="M114" s="101"/>
      <c r="N114" s="101"/>
      <c r="O114" s="101"/>
      <c r="P114" s="101"/>
      <c r="Q114" s="101"/>
      <c r="R114" s="101"/>
    </row>
    <row r="115" spans="1:18" x14ac:dyDescent="0.25">
      <c r="A115" s="101"/>
      <c r="B115" s="101"/>
      <c r="C115" s="101"/>
      <c r="D115" s="101"/>
      <c r="E115" s="102"/>
      <c r="F115" s="101"/>
      <c r="G115" s="101"/>
      <c r="H115" s="101"/>
      <c r="I115" s="101"/>
      <c r="J115" s="101"/>
      <c r="K115" s="101"/>
      <c r="L115" s="101"/>
      <c r="M115" s="101"/>
      <c r="N115" s="101"/>
      <c r="O115" s="101"/>
      <c r="P115" s="101"/>
      <c r="Q115" s="101"/>
      <c r="R115" s="101"/>
    </row>
    <row r="116" spans="1:18" x14ac:dyDescent="0.25">
      <c r="A116" s="101"/>
      <c r="B116" s="101"/>
      <c r="C116" s="101"/>
      <c r="D116" s="101"/>
      <c r="E116" s="102"/>
      <c r="F116" s="101"/>
      <c r="G116" s="101"/>
      <c r="H116" s="101"/>
      <c r="I116" s="101"/>
      <c r="J116" s="101"/>
      <c r="K116" s="101"/>
      <c r="L116" s="101"/>
      <c r="M116" s="101"/>
      <c r="N116" s="101"/>
      <c r="O116" s="101"/>
      <c r="P116" s="101"/>
      <c r="Q116" s="101"/>
      <c r="R116" s="101"/>
    </row>
    <row r="117" spans="1:18" x14ac:dyDescent="0.25">
      <c r="A117" s="101"/>
      <c r="B117" s="101"/>
      <c r="C117" s="101"/>
      <c r="D117" s="101"/>
      <c r="E117" s="102"/>
      <c r="F117" s="101"/>
      <c r="G117" s="101"/>
      <c r="H117" s="101"/>
      <c r="I117" s="101"/>
      <c r="J117" s="101"/>
      <c r="K117" s="101"/>
      <c r="L117" s="101"/>
      <c r="M117" s="101"/>
      <c r="N117" s="101"/>
      <c r="O117" s="101"/>
      <c r="P117" s="101"/>
      <c r="Q117" s="101"/>
      <c r="R117" s="101"/>
    </row>
    <row r="118" spans="1:18" x14ac:dyDescent="0.25">
      <c r="A118" s="101"/>
      <c r="B118" s="101"/>
      <c r="C118" s="101"/>
      <c r="D118" s="101"/>
      <c r="E118" s="102"/>
      <c r="F118" s="101"/>
      <c r="G118" s="101"/>
      <c r="H118" s="101"/>
      <c r="I118" s="101"/>
      <c r="J118" s="101"/>
      <c r="K118" s="101"/>
      <c r="L118" s="101"/>
      <c r="M118" s="101"/>
      <c r="N118" s="101"/>
      <c r="O118" s="101"/>
      <c r="P118" s="101"/>
      <c r="Q118" s="101"/>
      <c r="R118" s="101"/>
    </row>
    <row r="119" spans="1:18" x14ac:dyDescent="0.25">
      <c r="A119" s="101"/>
      <c r="B119" s="101"/>
      <c r="C119" s="101"/>
      <c r="D119" s="101"/>
      <c r="E119" s="102"/>
      <c r="F119" s="101"/>
      <c r="G119" s="101"/>
      <c r="H119" s="101"/>
      <c r="I119" s="101"/>
      <c r="J119" s="101"/>
      <c r="K119" s="101"/>
      <c r="L119" s="101"/>
      <c r="M119" s="101"/>
      <c r="N119" s="101"/>
      <c r="O119" s="101"/>
      <c r="P119" s="101"/>
      <c r="Q119" s="101"/>
      <c r="R119" s="101"/>
    </row>
    <row r="120" spans="1:18" x14ac:dyDescent="0.25">
      <c r="A120" s="101"/>
      <c r="B120" s="101"/>
      <c r="C120" s="101"/>
      <c r="D120" s="101"/>
      <c r="E120" s="102"/>
      <c r="F120" s="101"/>
      <c r="G120" s="101"/>
      <c r="H120" s="101"/>
      <c r="I120" s="101"/>
      <c r="J120" s="101"/>
      <c r="K120" s="101"/>
      <c r="L120" s="101"/>
      <c r="M120" s="101"/>
      <c r="N120" s="101"/>
      <c r="O120" s="101"/>
      <c r="P120" s="101"/>
      <c r="Q120" s="101"/>
      <c r="R120" s="101"/>
    </row>
    <row r="121" spans="1:18" x14ac:dyDescent="0.25">
      <c r="A121" s="98"/>
      <c r="B121" s="98"/>
      <c r="C121" s="98"/>
      <c r="D121" s="98"/>
      <c r="E121" s="105"/>
      <c r="F121" s="98"/>
      <c r="G121" s="98"/>
      <c r="H121" s="98"/>
      <c r="I121" s="98"/>
      <c r="J121" s="98"/>
      <c r="K121" s="98"/>
      <c r="L121" s="98"/>
      <c r="M121" s="98"/>
      <c r="N121" s="98"/>
      <c r="O121" s="98"/>
      <c r="P121" s="98"/>
      <c r="Q121" s="98"/>
      <c r="R121" s="98"/>
    </row>
    <row r="122" spans="1:18" x14ac:dyDescent="0.25">
      <c r="A122" s="98"/>
      <c r="B122" s="98"/>
      <c r="C122" s="98"/>
      <c r="D122" s="98"/>
      <c r="E122" s="105"/>
      <c r="F122" s="98"/>
      <c r="G122" s="98"/>
      <c r="H122" s="98"/>
      <c r="I122" s="98"/>
      <c r="J122" s="98"/>
      <c r="K122" s="98"/>
      <c r="L122" s="98"/>
      <c r="M122" s="98"/>
      <c r="N122" s="98"/>
      <c r="O122" s="98"/>
      <c r="P122" s="98"/>
      <c r="Q122" s="98"/>
      <c r="R122" s="98"/>
    </row>
    <row r="123" spans="1:18" x14ac:dyDescent="0.25">
      <c r="A123" s="98"/>
      <c r="B123" s="98"/>
      <c r="C123" s="98"/>
      <c r="D123" s="98"/>
      <c r="E123" s="105"/>
      <c r="F123" s="98"/>
      <c r="G123" s="98"/>
      <c r="H123" s="98"/>
      <c r="I123" s="98"/>
      <c r="J123" s="98"/>
      <c r="K123" s="98"/>
      <c r="L123" s="98"/>
      <c r="M123" s="98"/>
      <c r="N123" s="98"/>
      <c r="O123" s="98"/>
      <c r="P123" s="98"/>
      <c r="Q123" s="98"/>
      <c r="R123" s="98"/>
    </row>
    <row r="124" spans="1:18" x14ac:dyDescent="0.25">
      <c r="A124" s="98"/>
      <c r="B124" s="98"/>
      <c r="C124" s="98"/>
      <c r="D124" s="98"/>
      <c r="E124" s="105"/>
      <c r="F124" s="98"/>
      <c r="G124" s="98"/>
      <c r="H124" s="98"/>
      <c r="I124" s="98"/>
      <c r="J124" s="98"/>
      <c r="K124" s="98"/>
      <c r="L124" s="98"/>
      <c r="M124" s="98"/>
      <c r="N124" s="98"/>
      <c r="O124" s="98"/>
      <c r="P124" s="98"/>
      <c r="Q124" s="98"/>
      <c r="R124" s="98"/>
    </row>
  </sheetData>
  <customSheetViews>
    <customSheetView guid="{C8C7977F-B6BF-432B-A1A7-559450D521AF}" scale="90">
      <selection activeCell="A2" sqref="A2"/>
      <pageMargins left="0.7" right="0.7" top="0.75" bottom="0.75" header="0.3" footer="0.3"/>
    </customSheetView>
  </customSheetViews>
  <mergeCells count="17">
    <mergeCell ref="A38:D39"/>
    <mergeCell ref="E38:E39"/>
    <mergeCell ref="A1:L1"/>
    <mergeCell ref="A6:D7"/>
    <mergeCell ref="E6:E7"/>
    <mergeCell ref="F6:J7"/>
    <mergeCell ref="K6:O7"/>
    <mergeCell ref="F40:I40"/>
    <mergeCell ref="K40:N40"/>
    <mergeCell ref="Q38:Q39"/>
    <mergeCell ref="P6:P7"/>
    <mergeCell ref="Q6:Q7"/>
    <mergeCell ref="F38:J39"/>
    <mergeCell ref="K38:O39"/>
    <mergeCell ref="F8:I8"/>
    <mergeCell ref="K8:N8"/>
    <mergeCell ref="P38:P39"/>
  </mergeCells>
  <conditionalFormatting sqref="F12:Q34 F44:Q73 F76:Q78">
    <cfRule type="expression" dxfId="104" priority="1" stopIfTrue="1">
      <formula>$P$2="ex-ante"</formula>
    </cfRule>
  </conditionalFormatting>
  <pageMargins left="0.70866141732283472" right="0.70866141732283472" top="0.74803149606299213" bottom="0.74803149606299213" header="0.31496062992125984" footer="0.31496062992125984"/>
  <pageSetup paperSize="8" scale="54" orientation="landscape" r:id="rId1"/>
  <colBreaks count="1" manualBreakCount="1">
    <brk id="17" max="1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H902"/>
  <sheetViews>
    <sheetView zoomScale="90" zoomScaleNormal="90" workbookViewId="0">
      <selection activeCell="A29" sqref="A29"/>
    </sheetView>
  </sheetViews>
  <sheetFormatPr defaultColWidth="9.1796875" defaultRowHeight="12.5" x14ac:dyDescent="0.25"/>
  <cols>
    <col min="1" max="1" width="48" style="109" customWidth="1"/>
    <col min="2" max="5" width="18.7265625" style="109" customWidth="1"/>
    <col min="6" max="27" width="9.1796875" style="109"/>
    <col min="28" max="28" width="13.7265625" style="109" customWidth="1"/>
    <col min="29" max="16384" width="9.1796875" style="109"/>
  </cols>
  <sheetData>
    <row r="1" spans="1:8" s="21" customFormat="1" ht="18.5" thickBot="1" x14ac:dyDescent="0.45">
      <c r="A1" s="990" t="s">
        <v>72</v>
      </c>
      <c r="B1" s="991"/>
      <c r="C1" s="991"/>
      <c r="D1" s="991"/>
      <c r="E1" s="992"/>
      <c r="F1" s="106"/>
      <c r="G1" s="106"/>
      <c r="H1" s="106"/>
    </row>
    <row r="2" spans="1:8" s="20" customFormat="1" ht="13" thickBot="1" x14ac:dyDescent="0.3"/>
    <row r="3" spans="1:8" s="20" customFormat="1" ht="13" thickBot="1" x14ac:dyDescent="0.3">
      <c r="A3" s="107" t="s">
        <v>21</v>
      </c>
      <c r="C3" s="107" t="s">
        <v>22</v>
      </c>
      <c r="D3" s="108">
        <f>TITELBLAD!E15</f>
        <v>2017</v>
      </c>
    </row>
    <row r="4" spans="1:8" s="20" customFormat="1" ht="13" thickBot="1" x14ac:dyDescent="0.3">
      <c r="C4" s="107" t="s">
        <v>23</v>
      </c>
      <c r="D4" s="108">
        <f>TITELBLAD!E16</f>
        <v>2020</v>
      </c>
    </row>
    <row r="5" spans="1:8" s="20" customFormat="1" ht="13" thickBot="1" x14ac:dyDescent="0.3"/>
    <row r="6" spans="1:8" s="20" customFormat="1" ht="13" thickBot="1" x14ac:dyDescent="0.3">
      <c r="A6" s="610" t="s">
        <v>198</v>
      </c>
      <c r="D6" s="108">
        <f>TITELBLAD!E18</f>
        <v>2019</v>
      </c>
      <c r="E6" s="108" t="str">
        <f>+TITELBLAD!F18</f>
        <v>ex-ante</v>
      </c>
      <c r="F6" s="21"/>
      <c r="G6" s="21"/>
    </row>
    <row r="7" spans="1:8" s="20" customFormat="1" x14ac:dyDescent="0.25"/>
    <row r="8" spans="1:8" s="20" customFormat="1" ht="13" thickBot="1" x14ac:dyDescent="0.3">
      <c r="A8" s="107" t="s">
        <v>26</v>
      </c>
    </row>
    <row r="9" spans="1:8" s="20" customFormat="1" ht="13.5" thickBot="1" x14ac:dyDescent="0.35">
      <c r="A9" s="995" t="str">
        <f>TITELBLAD!C7</f>
        <v>Naam distributienetbeheerder</v>
      </c>
      <c r="B9" s="996"/>
      <c r="C9" s="996"/>
      <c r="D9" s="997"/>
    </row>
    <row r="10" spans="1:8" s="20" customFormat="1" x14ac:dyDescent="0.25"/>
    <row r="11" spans="1:8" s="20" customFormat="1" ht="13" thickBot="1" x14ac:dyDescent="0.3">
      <c r="A11" s="107" t="s">
        <v>27</v>
      </c>
    </row>
    <row r="12" spans="1:8" s="20" customFormat="1" ht="13.5" thickBot="1" x14ac:dyDescent="0.35">
      <c r="A12" s="998" t="str">
        <f>TITELBLAD!C12</f>
        <v>elektriciteit</v>
      </c>
      <c r="B12" s="999"/>
      <c r="C12" s="999"/>
      <c r="D12" s="1000"/>
    </row>
    <row r="13" spans="1:8" s="20" customFormat="1" x14ac:dyDescent="0.25"/>
    <row r="14" spans="1:8" s="20" customFormat="1" ht="13" x14ac:dyDescent="0.3">
      <c r="A14" s="110" t="s">
        <v>301</v>
      </c>
    </row>
    <row r="15" spans="1:8" s="20" customFormat="1" ht="13" x14ac:dyDescent="0.3">
      <c r="A15" s="110"/>
    </row>
    <row r="16" spans="1:8" s="20" customFormat="1" ht="13" x14ac:dyDescent="0.25">
      <c r="B16" s="111" t="s">
        <v>0</v>
      </c>
      <c r="C16" s="111" t="s">
        <v>1</v>
      </c>
    </row>
    <row r="17" spans="1:6" s="20" customFormat="1" ht="13" x14ac:dyDescent="0.25">
      <c r="A17" s="112" t="s">
        <v>28</v>
      </c>
      <c r="B17" s="113">
        <f>D6</f>
        <v>2019</v>
      </c>
      <c r="C17" s="114">
        <f>D6</f>
        <v>2019</v>
      </c>
    </row>
    <row r="18" spans="1:6" s="20" customFormat="1" ht="27.75" customHeight="1" x14ac:dyDescent="0.25">
      <c r="A18" s="115" t="s">
        <v>135</v>
      </c>
      <c r="B18" s="436">
        <f>+T3B!D142</f>
        <v>0</v>
      </c>
      <c r="C18" s="436">
        <f>+T3B!E142</f>
        <v>0</v>
      </c>
    </row>
    <row r="19" spans="1:6" s="20" customFormat="1" ht="31.5" customHeight="1" x14ac:dyDescent="0.25">
      <c r="A19" s="115" t="s">
        <v>136</v>
      </c>
      <c r="B19" s="436">
        <f>+T3B!D143</f>
        <v>0</v>
      </c>
      <c r="C19" s="436">
        <f>+T3B!E143</f>
        <v>0</v>
      </c>
    </row>
    <row r="20" spans="1:6" s="20" customFormat="1" ht="30.75" customHeight="1" x14ac:dyDescent="0.25">
      <c r="A20" s="115" t="s">
        <v>137</v>
      </c>
      <c r="B20" s="436">
        <f>+T3B!D144</f>
        <v>0</v>
      </c>
      <c r="C20" s="436">
        <f>+T3B!E144</f>
        <v>0</v>
      </c>
    </row>
    <row r="21" spans="1:6" s="20" customFormat="1" ht="26.25" customHeight="1" x14ac:dyDescent="0.25">
      <c r="A21" s="117" t="s">
        <v>139</v>
      </c>
      <c r="B21" s="436">
        <f>+T3B!D145</f>
        <v>0</v>
      </c>
      <c r="C21" s="436">
        <f>+T3B!E145</f>
        <v>0</v>
      </c>
    </row>
    <row r="22" spans="1:6" s="20" customFormat="1" ht="29.25" customHeight="1" x14ac:dyDescent="0.25">
      <c r="A22" s="794" t="s">
        <v>147</v>
      </c>
      <c r="B22" s="436">
        <f>+T3B!D146</f>
        <v>0</v>
      </c>
      <c r="C22" s="436">
        <f>+T3B!E146</f>
        <v>0</v>
      </c>
    </row>
    <row r="23" spans="1:6" s="20" customFormat="1" ht="26.25" customHeight="1" x14ac:dyDescent="0.25">
      <c r="A23" s="117" t="s">
        <v>140</v>
      </c>
      <c r="B23" s="436">
        <f>+T3B!D147</f>
        <v>0</v>
      </c>
      <c r="C23" s="436">
        <f>+T3B!E147</f>
        <v>0</v>
      </c>
    </row>
    <row r="24" spans="1:6" s="20" customFormat="1" ht="26.25" customHeight="1" x14ac:dyDescent="0.25">
      <c r="A24" s="117" t="s">
        <v>141</v>
      </c>
      <c r="B24" s="436">
        <f>+T3B!D148</f>
        <v>0</v>
      </c>
      <c r="C24" s="436">
        <f>+T3B!E148</f>
        <v>0</v>
      </c>
    </row>
    <row r="25" spans="1:6" s="20" customFormat="1" ht="26.25" customHeight="1" x14ac:dyDescent="0.25">
      <c r="A25" s="117" t="s">
        <v>142</v>
      </c>
      <c r="B25" s="436">
        <f>+T3B!D149</f>
        <v>0</v>
      </c>
      <c r="C25" s="436">
        <f>+T3B!E149</f>
        <v>0</v>
      </c>
    </row>
    <row r="26" spans="1:6" s="20" customFormat="1" ht="42.75" customHeight="1" x14ac:dyDescent="0.25">
      <c r="A26" s="117" t="s">
        <v>143</v>
      </c>
      <c r="B26" s="436">
        <f>+T3B!D150</f>
        <v>0</v>
      </c>
      <c r="C26" s="436">
        <f>+T3B!E150</f>
        <v>0</v>
      </c>
    </row>
    <row r="27" spans="1:6" s="20" customFormat="1" x14ac:dyDescent="0.25">
      <c r="A27" s="118"/>
      <c r="B27" s="116"/>
      <c r="C27" s="116"/>
    </row>
    <row r="28" spans="1:6" s="48" customFormat="1" ht="27" customHeight="1" x14ac:dyDescent="0.25">
      <c r="A28" s="773" t="s">
        <v>292</v>
      </c>
      <c r="B28" s="785">
        <f>SUM(B23:B26,B18:B21)</f>
        <v>0</v>
      </c>
      <c r="C28" s="785">
        <f>SUM(C23:C26,C18:C21)</f>
        <v>0</v>
      </c>
      <c r="D28" s="20"/>
      <c r="E28" s="722"/>
      <c r="F28" s="710"/>
    </row>
    <row r="29" spans="1:6" s="48" customFormat="1" ht="27" customHeight="1" x14ac:dyDescent="0.25">
      <c r="A29" s="773" t="s">
        <v>293</v>
      </c>
      <c r="B29" s="785">
        <f>SUM(B22)</f>
        <v>0</v>
      </c>
      <c r="C29" s="785">
        <f>SUM(C22)</f>
        <v>0</v>
      </c>
      <c r="D29" s="20"/>
      <c r="E29" s="722"/>
      <c r="F29" s="710"/>
    </row>
    <row r="30" spans="1:6" s="48" customFormat="1" ht="27" customHeight="1" x14ac:dyDescent="0.25">
      <c r="A30" s="773" t="s">
        <v>294</v>
      </c>
      <c r="B30" s="785">
        <f>SUM(B28:B29)</f>
        <v>0</v>
      </c>
      <c r="C30" s="785">
        <f>SUM(C28:C29)</f>
        <v>0</v>
      </c>
      <c r="D30" s="20"/>
      <c r="E30" s="722"/>
      <c r="F30" s="710"/>
    </row>
    <row r="31" spans="1:6" s="20" customFormat="1" ht="13" x14ac:dyDescent="0.3">
      <c r="A31" s="381" t="s">
        <v>181</v>
      </c>
      <c r="B31" s="454">
        <f>+B30-T3B!D154</f>
        <v>0</v>
      </c>
      <c r="C31" s="454">
        <f>+C30-T3B!E154</f>
        <v>0</v>
      </c>
    </row>
    <row r="32" spans="1:6" s="20" customFormat="1" x14ac:dyDescent="0.25"/>
    <row r="33" s="20" customFormat="1" x14ac:dyDescent="0.25"/>
    <row r="34" s="20" customFormat="1" x14ac:dyDescent="0.25"/>
    <row r="35" s="20" customFormat="1" x14ac:dyDescent="0.25"/>
    <row r="36" s="20" customFormat="1" x14ac:dyDescent="0.25"/>
    <row r="37" s="20" customFormat="1" x14ac:dyDescent="0.25"/>
    <row r="38" s="20" customFormat="1" x14ac:dyDescent="0.25"/>
    <row r="39" s="20" customFormat="1" x14ac:dyDescent="0.25"/>
    <row r="40" s="20" customFormat="1" x14ac:dyDescent="0.25"/>
    <row r="41" s="20" customFormat="1" x14ac:dyDescent="0.25"/>
    <row r="42" s="20" customFormat="1" x14ac:dyDescent="0.25"/>
    <row r="43" s="20" customFormat="1" x14ac:dyDescent="0.25"/>
    <row r="44" s="20" customFormat="1" x14ac:dyDescent="0.25"/>
    <row r="45" s="20" customFormat="1" x14ac:dyDescent="0.25"/>
    <row r="46" s="20" customFormat="1" x14ac:dyDescent="0.25"/>
    <row r="47" s="20" customFormat="1" x14ac:dyDescent="0.25"/>
    <row r="48" s="20" customFormat="1" x14ac:dyDescent="0.25"/>
    <row r="49" s="20" customFormat="1" x14ac:dyDescent="0.25"/>
    <row r="50" s="20" customFormat="1" x14ac:dyDescent="0.25"/>
    <row r="51" s="20" customFormat="1" x14ac:dyDescent="0.25"/>
    <row r="52" s="20" customFormat="1" x14ac:dyDescent="0.25"/>
    <row r="53" s="20" customFormat="1" x14ac:dyDescent="0.25"/>
    <row r="54" s="20" customFormat="1" x14ac:dyDescent="0.25"/>
    <row r="55" s="20" customFormat="1" x14ac:dyDescent="0.25"/>
    <row r="56" s="20" customFormat="1" x14ac:dyDescent="0.25"/>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sheetData>
  <customSheetViews>
    <customSheetView guid="{C8C7977F-B6BF-432B-A1A7-559450D521AF}" scale="83">
      <selection activeCell="B37" sqref="B37"/>
      <pageMargins left="0.75" right="0.75" top="1" bottom="1" header="0.5" footer="0.5"/>
      <pageSetup paperSize="9" orientation="portrait" r:id="rId1"/>
      <headerFooter alignWithMargins="0"/>
    </customSheetView>
  </customSheetViews>
  <mergeCells count="3">
    <mergeCell ref="A9:D9"/>
    <mergeCell ref="A12:D12"/>
    <mergeCell ref="A1:E1"/>
  </mergeCells>
  <conditionalFormatting sqref="A25:C25">
    <cfRule type="expression" dxfId="103" priority="6" stopIfTrue="1">
      <formula>$A$12="elektriciteit"</formula>
    </cfRule>
  </conditionalFormatting>
  <conditionalFormatting sqref="C18:C31">
    <cfRule type="expression" dxfId="102" priority="2" stopIfTrue="1">
      <formula>$E$6="ex-ante"</formula>
    </cfRule>
  </conditionalFormatting>
  <conditionalFormatting sqref="A29:C29 A22:C24">
    <cfRule type="expression" dxfId="101" priority="1" stopIfTrue="1">
      <formula>$A$12="gas"</formula>
    </cfRule>
  </conditionalFormatting>
  <pageMargins left="0.74803149606299213" right="0.74803149606299213" top="0.98425196850393704" bottom="0.98425196850393704" header="0.51181102362204722" footer="0.51181102362204722"/>
  <pageSetup paperSize="8" orientation="portrait" r:id="rId2"/>
  <headerFooter alignWithMargins="0"/>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R154"/>
  <sheetViews>
    <sheetView topLeftCell="A55" zoomScale="85" zoomScaleNormal="85" workbookViewId="0">
      <selection activeCell="D52" sqref="D52"/>
    </sheetView>
  </sheetViews>
  <sheetFormatPr defaultColWidth="8.81640625" defaultRowHeight="12.5" x14ac:dyDescent="0.25"/>
  <cols>
    <col min="1" max="1" width="3.453125" style="48" customWidth="1"/>
    <col min="2" max="2" width="60.453125" style="122" customWidth="1"/>
    <col min="3" max="3" width="16.453125" style="50" customWidth="1"/>
    <col min="4" max="4" width="26.1796875" style="48" customWidth="1"/>
    <col min="5" max="5" width="12.81640625" style="50" customWidth="1"/>
    <col min="6" max="6" width="2.54296875" style="48" customWidth="1"/>
    <col min="7" max="7" width="26.1796875" style="50" customWidth="1"/>
    <col min="8" max="16384" width="8.81640625" style="48"/>
  </cols>
  <sheetData>
    <row r="1" spans="1:18" ht="18.5" thickBot="1" x14ac:dyDescent="0.3">
      <c r="A1" s="1001" t="s">
        <v>123</v>
      </c>
      <c r="B1" s="1002"/>
      <c r="C1" s="1002"/>
      <c r="D1" s="1002"/>
      <c r="E1" s="1002"/>
      <c r="F1" s="1002"/>
      <c r="G1" s="1003"/>
      <c r="N1" s="483" t="str">
        <f>+TITELBLAD!B18</f>
        <v>Rapportering over boekjaar:</v>
      </c>
      <c r="O1" s="483"/>
      <c r="P1" s="483"/>
      <c r="Q1" s="483">
        <f>+TITELBLAD!E18</f>
        <v>2019</v>
      </c>
      <c r="R1" s="483" t="str">
        <f>+TITELBLAD!F18</f>
        <v>ex-ante</v>
      </c>
    </row>
    <row r="2" spans="1:18" x14ac:dyDescent="0.25">
      <c r="N2" s="483"/>
      <c r="O2" s="483"/>
      <c r="P2" s="483"/>
      <c r="Q2" s="483"/>
      <c r="R2" s="483"/>
    </row>
    <row r="3" spans="1:18" ht="13" x14ac:dyDescent="0.25">
      <c r="B3" s="49" t="s">
        <v>62</v>
      </c>
      <c r="E3" s="48"/>
      <c r="G3" s="48"/>
      <c r="H3" s="50"/>
      <c r="N3" s="483"/>
      <c r="O3" s="483"/>
      <c r="P3" s="483"/>
      <c r="Q3" s="483"/>
      <c r="R3" s="483"/>
    </row>
    <row r="4" spans="1:18" ht="13" x14ac:dyDescent="0.25">
      <c r="B4" s="51" t="s">
        <v>183</v>
      </c>
      <c r="E4" s="48"/>
      <c r="G4" s="48"/>
      <c r="H4" s="50"/>
    </row>
    <row r="5" spans="1:18" ht="13" x14ac:dyDescent="0.25">
      <c r="B5" s="120"/>
      <c r="E5" s="48"/>
      <c r="G5" s="48"/>
      <c r="H5" s="50"/>
    </row>
    <row r="6" spans="1:18" ht="13" x14ac:dyDescent="0.25">
      <c r="B6" s="121" t="s">
        <v>214</v>
      </c>
      <c r="E6" s="48"/>
      <c r="G6" s="48"/>
      <c r="H6" s="50"/>
    </row>
    <row r="7" spans="1:18" ht="13" x14ac:dyDescent="0.25">
      <c r="B7" s="51" t="s">
        <v>285</v>
      </c>
      <c r="E7" s="48"/>
      <c r="G7" s="48"/>
      <c r="H7" s="50"/>
    </row>
    <row r="8" spans="1:18" ht="13" x14ac:dyDescent="0.25">
      <c r="B8" s="120"/>
      <c r="E8" s="48"/>
      <c r="G8" s="48"/>
      <c r="H8" s="50"/>
    </row>
    <row r="9" spans="1:18" x14ac:dyDescent="0.25">
      <c r="E9" s="48"/>
      <c r="G9" s="48"/>
      <c r="H9" s="50"/>
    </row>
    <row r="10" spans="1:18" ht="13" x14ac:dyDescent="0.25">
      <c r="D10" s="123" t="s">
        <v>0</v>
      </c>
    </row>
    <row r="11" spans="1:18" x14ac:dyDescent="0.25">
      <c r="D11" s="124" t="s">
        <v>2</v>
      </c>
    </row>
    <row r="12" spans="1:18" x14ac:dyDescent="0.25">
      <c r="D12" s="125">
        <f>'T2'!D6</f>
        <v>2019</v>
      </c>
    </row>
    <row r="13" spans="1:18" x14ac:dyDescent="0.25">
      <c r="D13" s="124" t="str">
        <f>+TITELBLAD!$C$7</f>
        <v>Naam distributienetbeheerder</v>
      </c>
    </row>
    <row r="14" spans="1:18" x14ac:dyDescent="0.25">
      <c r="D14" s="125" t="str">
        <f>TITELBLAD!$C$12</f>
        <v>elektriciteit</v>
      </c>
    </row>
    <row r="15" spans="1:18" x14ac:dyDescent="0.25">
      <c r="D15" s="126"/>
    </row>
    <row r="16" spans="1:18" x14ac:dyDescent="0.25">
      <c r="B16" s="1004" t="s">
        <v>195</v>
      </c>
      <c r="C16" s="1007" t="s">
        <v>196</v>
      </c>
      <c r="D16" s="1010"/>
      <c r="E16" s="1011" t="s">
        <v>197</v>
      </c>
      <c r="G16" s="1011" t="s">
        <v>286</v>
      </c>
    </row>
    <row r="17" spans="1:7" x14ac:dyDescent="0.25">
      <c r="B17" s="1005"/>
      <c r="C17" s="1008"/>
      <c r="D17" s="1010"/>
      <c r="E17" s="1012"/>
      <c r="G17" s="1012"/>
    </row>
    <row r="18" spans="1:7" x14ac:dyDescent="0.25">
      <c r="B18" s="1006"/>
      <c r="C18" s="1009"/>
      <c r="D18" s="1010"/>
      <c r="E18" s="1013"/>
      <c r="G18" s="1013"/>
    </row>
    <row r="20" spans="1:7" ht="55.5" customHeight="1" x14ac:dyDescent="0.25">
      <c r="A20" s="48">
        <v>1</v>
      </c>
      <c r="B20" s="127" t="s">
        <v>243</v>
      </c>
      <c r="C20" s="7" t="s">
        <v>194</v>
      </c>
      <c r="D20" s="134"/>
      <c r="E20" s="128"/>
      <c r="G20" s="128"/>
    </row>
    <row r="21" spans="1:7" ht="20.25" customHeight="1" x14ac:dyDescent="0.25">
      <c r="B21" s="702" t="s">
        <v>215</v>
      </c>
      <c r="C21" s="830"/>
      <c r="D21" s="780">
        <f>-T4B!G175</f>
        <v>0</v>
      </c>
      <c r="E21" s="792" t="s">
        <v>5</v>
      </c>
      <c r="G21" s="644"/>
    </row>
    <row r="22" spans="1:7" ht="21.75" customHeight="1" x14ac:dyDescent="0.25">
      <c r="B22" s="702" t="s">
        <v>216</v>
      </c>
      <c r="C22" s="642"/>
      <c r="D22" s="780">
        <f>-T4B!G176</f>
        <v>0</v>
      </c>
      <c r="E22" s="792" t="s">
        <v>5</v>
      </c>
      <c r="G22" s="644"/>
    </row>
    <row r="23" spans="1:7" ht="21.75" customHeight="1" x14ac:dyDescent="0.25">
      <c r="B23" s="702" t="s">
        <v>217</v>
      </c>
      <c r="C23" s="642"/>
      <c r="D23" s="780">
        <f>-T4B!G177</f>
        <v>0</v>
      </c>
      <c r="E23" s="792" t="s">
        <v>5</v>
      </c>
      <c r="G23" s="644"/>
    </row>
    <row r="24" spans="1:7" ht="21.75" customHeight="1" x14ac:dyDescent="0.25">
      <c r="B24" s="702" t="s">
        <v>218</v>
      </c>
      <c r="C24" s="642"/>
      <c r="D24" s="780">
        <f>-T4B!G178</f>
        <v>0</v>
      </c>
      <c r="E24" s="792" t="s">
        <v>5</v>
      </c>
      <c r="G24" s="644"/>
    </row>
    <row r="25" spans="1:7" ht="33" customHeight="1" x14ac:dyDescent="0.25">
      <c r="B25" s="702" t="s">
        <v>219</v>
      </c>
      <c r="C25" s="642"/>
      <c r="D25" s="780">
        <f>-T4B!G179</f>
        <v>0</v>
      </c>
      <c r="E25" s="792" t="s">
        <v>5</v>
      </c>
      <c r="G25" s="644"/>
    </row>
    <row r="26" spans="1:7" ht="23.25" customHeight="1" x14ac:dyDescent="0.25">
      <c r="B26" s="702" t="s">
        <v>220</v>
      </c>
      <c r="C26" s="642"/>
      <c r="D26" s="780">
        <f>-T4B!G180</f>
        <v>0</v>
      </c>
      <c r="E26" s="792" t="s">
        <v>5</v>
      </c>
      <c r="G26" s="644"/>
    </row>
    <row r="27" spans="1:7" ht="32.25" customHeight="1" x14ac:dyDescent="0.25">
      <c r="B27" s="702" t="s">
        <v>221</v>
      </c>
      <c r="C27" s="642"/>
      <c r="D27" s="780">
        <f>-T4B!G181</f>
        <v>0</v>
      </c>
      <c r="E27" s="792" t="s">
        <v>5</v>
      </c>
      <c r="G27" s="644"/>
    </row>
    <row r="28" spans="1:7" ht="30.75" customHeight="1" x14ac:dyDescent="0.25">
      <c r="B28" s="702" t="s">
        <v>222</v>
      </c>
      <c r="C28" s="642"/>
      <c r="D28" s="780">
        <f>-T4B!G182</f>
        <v>0</v>
      </c>
      <c r="E28" s="792" t="s">
        <v>5</v>
      </c>
      <c r="G28" s="644"/>
    </row>
    <row r="29" spans="1:7" s="130" customFormat="1" ht="16.5" customHeight="1" x14ac:dyDescent="0.25">
      <c r="B29" s="815"/>
      <c r="C29" s="814"/>
      <c r="D29" s="816"/>
      <c r="E29" s="817"/>
      <c r="G29" s="151"/>
    </row>
    <row r="30" spans="1:7" ht="49.5" customHeight="1" x14ac:dyDescent="0.25">
      <c r="A30" s="48">
        <f>+A20+1</f>
        <v>2</v>
      </c>
      <c r="B30" s="127" t="s">
        <v>244</v>
      </c>
      <c r="C30" s="7" t="s">
        <v>314</v>
      </c>
      <c r="D30" s="837">
        <f>-VLOOKUP(D12,T4C!A91:B94,2,FALSE)</f>
        <v>0</v>
      </c>
      <c r="E30" s="789" t="s">
        <v>5</v>
      </c>
      <c r="F30" s="685"/>
      <c r="G30" s="789"/>
    </row>
    <row r="31" spans="1:7" s="130" customFormat="1" ht="13" x14ac:dyDescent="0.25">
      <c r="B31" s="150"/>
      <c r="C31" s="829"/>
      <c r="D31" s="131"/>
      <c r="E31" s="132"/>
    </row>
    <row r="32" spans="1:7" ht="72.75" customHeight="1" x14ac:dyDescent="0.25">
      <c r="A32" s="48">
        <f>A30+1</f>
        <v>3</v>
      </c>
      <c r="B32" s="127" t="s">
        <v>254</v>
      </c>
      <c r="C32" s="643" t="s">
        <v>234</v>
      </c>
      <c r="D32" s="667"/>
      <c r="E32" s="128"/>
      <c r="G32" s="128"/>
    </row>
    <row r="33" spans="1:9" ht="24" customHeight="1" x14ac:dyDescent="0.25">
      <c r="B33" s="702" t="s">
        <v>215</v>
      </c>
      <c r="C33" s="642"/>
      <c r="D33" s="780">
        <f>-T5B!G159</f>
        <v>0</v>
      </c>
      <c r="E33" s="792" t="s">
        <v>5</v>
      </c>
      <c r="G33" s="644"/>
    </row>
    <row r="34" spans="1:9" ht="21.75" customHeight="1" x14ac:dyDescent="0.25">
      <c r="B34" s="702" t="s">
        <v>216</v>
      </c>
      <c r="C34" s="642"/>
      <c r="D34" s="780">
        <f>-T5B!G160</f>
        <v>0</v>
      </c>
      <c r="E34" s="792" t="s">
        <v>5</v>
      </c>
      <c r="G34" s="644"/>
    </row>
    <row r="35" spans="1:9" ht="21.75" customHeight="1" x14ac:dyDescent="0.25">
      <c r="B35" s="702" t="s">
        <v>218</v>
      </c>
      <c r="C35" s="642"/>
      <c r="D35" s="780">
        <f>-T5B!G161</f>
        <v>0</v>
      </c>
      <c r="E35" s="792" t="s">
        <v>5</v>
      </c>
      <c r="G35" s="644"/>
    </row>
    <row r="36" spans="1:9" ht="30" customHeight="1" x14ac:dyDescent="0.25">
      <c r="B36" s="702" t="s">
        <v>219</v>
      </c>
      <c r="C36" s="642"/>
      <c r="D36" s="780">
        <f>-T5B!G162</f>
        <v>0</v>
      </c>
      <c r="E36" s="792" t="s">
        <v>5</v>
      </c>
      <c r="G36" s="644"/>
    </row>
    <row r="37" spans="1:9" ht="23.25" customHeight="1" x14ac:dyDescent="0.25">
      <c r="B37" s="702" t="s">
        <v>220</v>
      </c>
      <c r="C37" s="642"/>
      <c r="D37" s="780">
        <f>-T5B!G163</f>
        <v>0</v>
      </c>
      <c r="E37" s="792" t="s">
        <v>5</v>
      </c>
      <c r="G37" s="644"/>
    </row>
    <row r="38" spans="1:9" ht="30" customHeight="1" x14ac:dyDescent="0.25">
      <c r="B38" s="702" t="s">
        <v>221</v>
      </c>
      <c r="C38" s="642"/>
      <c r="D38" s="780">
        <f>-T5B!G164</f>
        <v>0</v>
      </c>
      <c r="E38" s="792" t="s">
        <v>5</v>
      </c>
      <c r="G38" s="644"/>
    </row>
    <row r="39" spans="1:9" ht="31.5" customHeight="1" x14ac:dyDescent="0.25">
      <c r="B39" s="702" t="s">
        <v>222</v>
      </c>
      <c r="C39" s="642"/>
      <c r="D39" s="780">
        <f>-T5B!G165</f>
        <v>0</v>
      </c>
      <c r="E39" s="792" t="s">
        <v>5</v>
      </c>
      <c r="G39" s="644"/>
    </row>
    <row r="40" spans="1:9" s="130" customFormat="1" ht="13" x14ac:dyDescent="0.25">
      <c r="B40" s="150"/>
      <c r="C40" s="131"/>
      <c r="D40" s="131"/>
      <c r="E40" s="132"/>
      <c r="F40" s="48"/>
      <c r="G40" s="132"/>
      <c r="H40" s="48"/>
      <c r="I40" s="48"/>
    </row>
    <row r="41" spans="1:9" ht="59.25" customHeight="1" x14ac:dyDescent="0.25">
      <c r="A41" s="48">
        <f>A32+1</f>
        <v>4</v>
      </c>
      <c r="B41" s="127" t="s">
        <v>255</v>
      </c>
      <c r="C41" s="643" t="s">
        <v>269</v>
      </c>
      <c r="D41" s="667"/>
      <c r="E41" s="128"/>
      <c r="G41" s="128"/>
    </row>
    <row r="42" spans="1:9" s="20" customFormat="1" ht="22.5" customHeight="1" x14ac:dyDescent="0.25">
      <c r="A42" s="48"/>
      <c r="B42" s="787" t="s">
        <v>215</v>
      </c>
      <c r="C42" s="790"/>
      <c r="D42" s="912">
        <f>IF($D$12=2017,"0,00",-T6B!G138)</f>
        <v>0</v>
      </c>
      <c r="E42" s="789" t="s">
        <v>5</v>
      </c>
      <c r="F42" s="48"/>
      <c r="G42" s="128"/>
    </row>
    <row r="43" spans="1:9" s="20" customFormat="1" ht="23.25" customHeight="1" x14ac:dyDescent="0.25">
      <c r="A43" s="48"/>
      <c r="B43" s="787" t="s">
        <v>216</v>
      </c>
      <c r="C43" s="790"/>
      <c r="D43" s="912">
        <f>IF($D$12=2017,"0,00",-T6B!G139)</f>
        <v>0</v>
      </c>
      <c r="E43" s="789" t="s">
        <v>5</v>
      </c>
      <c r="F43" s="48"/>
      <c r="G43" s="128"/>
    </row>
    <row r="44" spans="1:9" s="20" customFormat="1" ht="19.5" customHeight="1" x14ac:dyDescent="0.25">
      <c r="A44" s="48"/>
      <c r="B44" s="787" t="s">
        <v>217</v>
      </c>
      <c r="C44" s="790"/>
      <c r="D44" s="912">
        <f>IF($D$12=2017,"0,00",-T6B!G140)</f>
        <v>0</v>
      </c>
      <c r="E44" s="789" t="s">
        <v>5</v>
      </c>
      <c r="F44" s="48"/>
      <c r="G44" s="128"/>
    </row>
    <row r="45" spans="1:9" s="20" customFormat="1" ht="19.5" customHeight="1" x14ac:dyDescent="0.25">
      <c r="A45" s="48"/>
      <c r="B45" s="787" t="s">
        <v>218</v>
      </c>
      <c r="C45" s="790"/>
      <c r="D45" s="912">
        <f>IF($D$12=2017,"0,00",-T6B!G141)</f>
        <v>0</v>
      </c>
      <c r="E45" s="789" t="s">
        <v>5</v>
      </c>
      <c r="F45" s="48"/>
      <c r="G45" s="128"/>
    </row>
    <row r="46" spans="1:9" s="20" customFormat="1" ht="31.5" customHeight="1" x14ac:dyDescent="0.25">
      <c r="A46" s="48"/>
      <c r="B46" s="787" t="s">
        <v>219</v>
      </c>
      <c r="C46" s="790"/>
      <c r="D46" s="912">
        <f>IF($D$12=2017,"0,00",-T6B!G142)</f>
        <v>0</v>
      </c>
      <c r="E46" s="789" t="s">
        <v>5</v>
      </c>
      <c r="F46" s="48"/>
      <c r="G46" s="128"/>
    </row>
    <row r="47" spans="1:9" s="20" customFormat="1" ht="20.25" customHeight="1" x14ac:dyDescent="0.25">
      <c r="A47" s="48"/>
      <c r="B47" s="787" t="s">
        <v>220</v>
      </c>
      <c r="C47" s="790"/>
      <c r="D47" s="912">
        <f>IF($D$12=2017,"0,00",-T6B!G143)</f>
        <v>0</v>
      </c>
      <c r="E47" s="789" t="s">
        <v>5</v>
      </c>
      <c r="F47" s="48"/>
      <c r="G47" s="128"/>
    </row>
    <row r="48" spans="1:9" s="20" customFormat="1" ht="32.25" customHeight="1" x14ac:dyDescent="0.25">
      <c r="A48" s="48"/>
      <c r="B48" s="787" t="s">
        <v>221</v>
      </c>
      <c r="C48" s="790"/>
      <c r="D48" s="912">
        <f>IF($D$12=2017,"0,00",-T6B!G144)</f>
        <v>0</v>
      </c>
      <c r="E48" s="789" t="s">
        <v>5</v>
      </c>
      <c r="F48" s="48"/>
      <c r="G48" s="128"/>
    </row>
    <row r="49" spans="1:9" s="20" customFormat="1" ht="32.25" customHeight="1" x14ac:dyDescent="0.25">
      <c r="A49" s="48"/>
      <c r="B49" s="787" t="s">
        <v>222</v>
      </c>
      <c r="C49" s="790"/>
      <c r="D49" s="912">
        <f>IF($D$12=2017,"0,00",-T6B!G145)</f>
        <v>0</v>
      </c>
      <c r="E49" s="789" t="s">
        <v>5</v>
      </c>
      <c r="F49" s="48"/>
      <c r="G49" s="128"/>
    </row>
    <row r="50" spans="1:9" s="130" customFormat="1" ht="13" x14ac:dyDescent="0.25">
      <c r="B50" s="150"/>
      <c r="C50" s="713"/>
      <c r="D50" s="713"/>
      <c r="E50" s="132"/>
      <c r="F50" s="48"/>
      <c r="G50" s="132"/>
      <c r="H50" s="48"/>
      <c r="I50" s="48"/>
    </row>
    <row r="51" spans="1:9" ht="59.25" customHeight="1" x14ac:dyDescent="0.25">
      <c r="A51" s="48">
        <f>+A41+1</f>
        <v>5</v>
      </c>
      <c r="B51" s="127" t="s">
        <v>273</v>
      </c>
      <c r="C51" s="643" t="s">
        <v>128</v>
      </c>
      <c r="D51" s="683"/>
      <c r="E51" s="128"/>
      <c r="G51" s="128"/>
    </row>
    <row r="52" spans="1:9" s="20" customFormat="1" ht="22.5" customHeight="1" x14ac:dyDescent="0.25">
      <c r="A52" s="48"/>
      <c r="B52" s="787" t="s">
        <v>215</v>
      </c>
      <c r="C52" s="788"/>
      <c r="D52" s="838">
        <f>IF(D12=2017,"0,00",IF(D12=2018,"0,00",(-VLOOKUP(D12,'T7'!A66:B67,2,FALSE))))</f>
        <v>0</v>
      </c>
      <c r="E52" s="789" t="s">
        <v>5</v>
      </c>
      <c r="F52" s="735"/>
      <c r="G52" s="789"/>
    </row>
    <row r="53" spans="1:9" s="130" customFormat="1" ht="13" x14ac:dyDescent="0.25">
      <c r="B53" s="150"/>
      <c r="C53" s="131"/>
      <c r="D53" s="131"/>
      <c r="E53" s="132"/>
      <c r="F53" s="48"/>
      <c r="G53" s="132"/>
      <c r="H53" s="48"/>
      <c r="I53" s="48"/>
    </row>
    <row r="54" spans="1:9" ht="59.25" customHeight="1" x14ac:dyDescent="0.25">
      <c r="A54" s="48">
        <f>+A51+1</f>
        <v>6</v>
      </c>
      <c r="B54" s="127" t="s">
        <v>288</v>
      </c>
      <c r="C54" s="643" t="s">
        <v>129</v>
      </c>
      <c r="D54" s="134"/>
      <c r="E54" s="128"/>
      <c r="G54" s="128"/>
    </row>
    <row r="55" spans="1:9" s="20" customFormat="1" ht="24" customHeight="1" x14ac:dyDescent="0.25">
      <c r="A55" s="48"/>
      <c r="B55" s="702" t="s">
        <v>215</v>
      </c>
      <c r="C55" s="135"/>
      <c r="D55" s="791">
        <f>-'T8'!G230</f>
        <v>0</v>
      </c>
      <c r="E55" s="789" t="s">
        <v>5</v>
      </c>
      <c r="F55" s="48"/>
      <c r="G55" s="128"/>
    </row>
    <row r="56" spans="1:9" s="20" customFormat="1" ht="18.75" customHeight="1" x14ac:dyDescent="0.25">
      <c r="A56" s="48"/>
      <c r="B56" s="702" t="s">
        <v>216</v>
      </c>
      <c r="C56" s="135"/>
      <c r="D56" s="791">
        <f>-'T8'!G231</f>
        <v>0</v>
      </c>
      <c r="E56" s="789" t="s">
        <v>5</v>
      </c>
      <c r="F56" s="48"/>
      <c r="G56" s="128"/>
    </row>
    <row r="57" spans="1:9" s="20" customFormat="1" ht="21" customHeight="1" x14ac:dyDescent="0.25">
      <c r="A57" s="48"/>
      <c r="B57" s="702" t="s">
        <v>217</v>
      </c>
      <c r="C57" s="135"/>
      <c r="D57" s="791">
        <f>-'T8'!G232</f>
        <v>0</v>
      </c>
      <c r="E57" s="789" t="s">
        <v>5</v>
      </c>
      <c r="F57" s="48"/>
      <c r="G57" s="128"/>
    </row>
    <row r="58" spans="1:9" s="20" customFormat="1" ht="23.25" customHeight="1" x14ac:dyDescent="0.25">
      <c r="A58" s="48"/>
      <c r="B58" s="702" t="s">
        <v>218</v>
      </c>
      <c r="C58" s="135"/>
      <c r="D58" s="791">
        <f>-'T8'!G233</f>
        <v>0</v>
      </c>
      <c r="E58" s="789" t="s">
        <v>5</v>
      </c>
      <c r="F58" s="48"/>
      <c r="G58" s="128"/>
    </row>
    <row r="59" spans="1:9" s="20" customFormat="1" ht="32.25" customHeight="1" x14ac:dyDescent="0.25">
      <c r="A59" s="48"/>
      <c r="B59" s="702" t="s">
        <v>320</v>
      </c>
      <c r="C59" s="135"/>
      <c r="D59" s="791">
        <f>-'T8'!G234</f>
        <v>0</v>
      </c>
      <c r="E59" s="789" t="s">
        <v>5</v>
      </c>
      <c r="F59" s="48"/>
      <c r="G59" s="128"/>
    </row>
    <row r="60" spans="1:9" s="20" customFormat="1" ht="34.5" customHeight="1" x14ac:dyDescent="0.25">
      <c r="A60" s="48"/>
      <c r="B60" s="702" t="s">
        <v>219</v>
      </c>
      <c r="C60" s="135"/>
      <c r="D60" s="791">
        <f>-'T8'!G235</f>
        <v>0</v>
      </c>
      <c r="E60" s="789" t="s">
        <v>5</v>
      </c>
      <c r="F60" s="48"/>
      <c r="G60" s="128"/>
    </row>
    <row r="61" spans="1:9" s="20" customFormat="1" ht="24" customHeight="1" x14ac:dyDescent="0.25">
      <c r="A61" s="48"/>
      <c r="B61" s="702" t="s">
        <v>220</v>
      </c>
      <c r="C61" s="135"/>
      <c r="D61" s="791">
        <f>-'T8'!G236</f>
        <v>0</v>
      </c>
      <c r="E61" s="789" t="s">
        <v>5</v>
      </c>
      <c r="F61" s="48"/>
      <c r="G61" s="128"/>
    </row>
    <row r="62" spans="1:9" s="20" customFormat="1" ht="33" customHeight="1" x14ac:dyDescent="0.25">
      <c r="A62" s="48"/>
      <c r="B62" s="702" t="s">
        <v>221</v>
      </c>
      <c r="C62" s="135"/>
      <c r="D62" s="791">
        <f>-'T8'!G237</f>
        <v>0</v>
      </c>
      <c r="E62" s="789" t="s">
        <v>5</v>
      </c>
      <c r="F62" s="48"/>
      <c r="G62" s="128"/>
    </row>
    <row r="63" spans="1:9" s="20" customFormat="1" ht="29.25" customHeight="1" x14ac:dyDescent="0.25">
      <c r="A63" s="48"/>
      <c r="B63" s="702" t="s">
        <v>222</v>
      </c>
      <c r="C63" s="135"/>
      <c r="D63" s="791">
        <f>-'T8'!G238</f>
        <v>0</v>
      </c>
      <c r="E63" s="789" t="s">
        <v>5</v>
      </c>
      <c r="F63" s="48"/>
      <c r="G63" s="128"/>
    </row>
    <row r="64" spans="1:9" s="20" customFormat="1" ht="20.25" customHeight="1" x14ac:dyDescent="0.25">
      <c r="A64" s="48"/>
      <c r="B64" s="702" t="s">
        <v>289</v>
      </c>
      <c r="C64" s="135"/>
      <c r="D64" s="791">
        <f>-'T8'!G239</f>
        <v>0</v>
      </c>
      <c r="E64" s="789" t="s">
        <v>5</v>
      </c>
      <c r="F64" s="48"/>
      <c r="G64" s="128"/>
    </row>
    <row r="65" spans="1:7" ht="13" x14ac:dyDescent="0.25">
      <c r="B65" s="136"/>
      <c r="C65" s="137"/>
      <c r="D65" s="138"/>
      <c r="E65" s="129"/>
      <c r="G65" s="129"/>
    </row>
    <row r="66" spans="1:7" ht="29.25" customHeight="1" x14ac:dyDescent="0.25">
      <c r="A66" s="48">
        <f>A54+1</f>
        <v>7</v>
      </c>
      <c r="B66" s="127" t="s">
        <v>206</v>
      </c>
      <c r="C66" s="139"/>
      <c r="D66" s="606">
        <f>SUM(D67:D69)</f>
        <v>0</v>
      </c>
      <c r="E66" s="128" t="s">
        <v>5</v>
      </c>
      <c r="G66" s="128"/>
    </row>
    <row r="67" spans="1:7" ht="29.25" customHeight="1" x14ac:dyDescent="0.25">
      <c r="B67" s="432" t="s">
        <v>202</v>
      </c>
      <c r="C67" s="5"/>
      <c r="D67" s="744">
        <v>0</v>
      </c>
      <c r="E67" s="128"/>
      <c r="G67" s="128" t="s">
        <v>60</v>
      </c>
    </row>
    <row r="68" spans="1:7" ht="29.25" customHeight="1" x14ac:dyDescent="0.25">
      <c r="B68" s="432" t="s">
        <v>203</v>
      </c>
      <c r="C68" s="5"/>
      <c r="D68" s="744">
        <v>0</v>
      </c>
      <c r="E68" s="128"/>
      <c r="G68" s="128" t="s">
        <v>60</v>
      </c>
    </row>
    <row r="69" spans="1:7" ht="29.25" customHeight="1" x14ac:dyDescent="0.25">
      <c r="B69" s="432" t="s">
        <v>204</v>
      </c>
      <c r="C69" s="5"/>
      <c r="D69" s="744">
        <v>0</v>
      </c>
      <c r="E69" s="128"/>
      <c r="G69" s="128" t="s">
        <v>60</v>
      </c>
    </row>
    <row r="70" spans="1:7" ht="36.75" customHeight="1" x14ac:dyDescent="0.25">
      <c r="B70" s="127" t="s">
        <v>205</v>
      </c>
      <c r="C70" s="611"/>
      <c r="D70" s="606">
        <f>SUM(D71:D73)</f>
        <v>0</v>
      </c>
      <c r="E70" s="128" t="s">
        <v>9</v>
      </c>
      <c r="G70" s="128"/>
    </row>
    <row r="71" spans="1:7" ht="29.25" customHeight="1" x14ac:dyDescent="0.25">
      <c r="B71" s="433" t="s">
        <v>290</v>
      </c>
      <c r="C71" s="5"/>
      <c r="D71" s="744">
        <v>0</v>
      </c>
      <c r="E71" s="128"/>
      <c r="G71" s="128" t="s">
        <v>60</v>
      </c>
    </row>
    <row r="72" spans="1:7" ht="29.25" customHeight="1" x14ac:dyDescent="0.25">
      <c r="B72" s="432" t="s">
        <v>207</v>
      </c>
      <c r="C72" s="5"/>
      <c r="D72" s="744">
        <v>0</v>
      </c>
      <c r="E72" s="128"/>
      <c r="G72" s="128" t="s">
        <v>60</v>
      </c>
    </row>
    <row r="73" spans="1:7" ht="45" customHeight="1" x14ac:dyDescent="0.25">
      <c r="B73" s="432" t="s">
        <v>208</v>
      </c>
      <c r="C73" s="5"/>
      <c r="D73" s="744">
        <v>0</v>
      </c>
      <c r="E73" s="128"/>
      <c r="G73" s="128" t="s">
        <v>60</v>
      </c>
    </row>
    <row r="74" spans="1:7" s="130" customFormat="1" ht="13" x14ac:dyDescent="0.25">
      <c r="B74" s="140"/>
      <c r="C74" s="141"/>
      <c r="D74" s="142"/>
      <c r="E74" s="129"/>
      <c r="G74" s="129"/>
    </row>
    <row r="75" spans="1:7" ht="33.75" customHeight="1" x14ac:dyDescent="0.25">
      <c r="A75" s="48">
        <f>A66+1</f>
        <v>8</v>
      </c>
      <c r="B75" s="133" t="s">
        <v>63</v>
      </c>
      <c r="C75" s="139"/>
      <c r="D75" s="143"/>
      <c r="E75" s="144"/>
      <c r="G75" s="128"/>
    </row>
    <row r="76" spans="1:7" ht="13" x14ac:dyDescent="0.25">
      <c r="B76" s="432" t="s">
        <v>6</v>
      </c>
      <c r="C76" s="5"/>
      <c r="D76" s="744">
        <v>0</v>
      </c>
      <c r="E76" s="128" t="s">
        <v>5</v>
      </c>
      <c r="G76" s="128" t="s">
        <v>60</v>
      </c>
    </row>
    <row r="77" spans="1:7" ht="13" x14ac:dyDescent="0.25">
      <c r="B77" s="432" t="s">
        <v>7</v>
      </c>
      <c r="C77" s="5"/>
      <c r="D77" s="744">
        <v>0</v>
      </c>
      <c r="E77" s="128" t="s">
        <v>5</v>
      </c>
      <c r="G77" s="128" t="s">
        <v>60</v>
      </c>
    </row>
    <row r="78" spans="1:7" ht="13" x14ac:dyDescent="0.25">
      <c r="B78" s="145"/>
      <c r="C78" s="146"/>
      <c r="D78" s="147"/>
      <c r="E78" s="148"/>
      <c r="G78" s="129"/>
    </row>
    <row r="79" spans="1:7" s="20" customFormat="1" ht="16.5" customHeight="1" x14ac:dyDescent="0.25">
      <c r="A79" s="48">
        <f>A75+1</f>
        <v>9</v>
      </c>
      <c r="B79" s="133" t="s">
        <v>209</v>
      </c>
      <c r="C79" s="139"/>
      <c r="D79" s="143"/>
      <c r="E79" s="144"/>
      <c r="F79" s="48"/>
      <c r="G79" s="129"/>
    </row>
    <row r="80" spans="1:7" s="20" customFormat="1" ht="13" x14ac:dyDescent="0.25">
      <c r="A80" s="48"/>
      <c r="B80" s="432" t="s">
        <v>8</v>
      </c>
      <c r="C80" s="5"/>
      <c r="D80" s="744">
        <v>0</v>
      </c>
      <c r="E80" s="128" t="s">
        <v>9</v>
      </c>
      <c r="F80" s="48"/>
      <c r="G80" s="128" t="s">
        <v>60</v>
      </c>
    </row>
    <row r="81" spans="1:8" s="20" customFormat="1" ht="13" x14ac:dyDescent="0.25">
      <c r="A81" s="48"/>
      <c r="B81" s="432" t="s">
        <v>10</v>
      </c>
      <c r="C81" s="5"/>
      <c r="D81" s="744">
        <v>0</v>
      </c>
      <c r="E81" s="128" t="s">
        <v>9</v>
      </c>
      <c r="F81" s="48"/>
      <c r="G81" s="128" t="s">
        <v>60</v>
      </c>
    </row>
    <row r="82" spans="1:8" s="20" customFormat="1" ht="13" x14ac:dyDescent="0.25">
      <c r="A82" s="48"/>
      <c r="B82" s="145"/>
      <c r="C82" s="146"/>
      <c r="D82" s="147"/>
      <c r="E82" s="132"/>
      <c r="F82" s="48"/>
      <c r="G82" s="129"/>
    </row>
    <row r="83" spans="1:8" ht="33.75" customHeight="1" x14ac:dyDescent="0.25">
      <c r="A83" s="48">
        <f>A79+1</f>
        <v>10</v>
      </c>
      <c r="B83" s="149" t="s">
        <v>11</v>
      </c>
      <c r="C83" s="5"/>
      <c r="D83" s="1">
        <v>0</v>
      </c>
      <c r="E83" s="128" t="s">
        <v>5</v>
      </c>
      <c r="G83" s="128" t="s">
        <v>60</v>
      </c>
    </row>
    <row r="84" spans="1:8" ht="13" x14ac:dyDescent="0.25">
      <c r="B84" s="150"/>
      <c r="C84" s="151"/>
      <c r="D84" s="147"/>
      <c r="E84" s="132"/>
      <c r="G84" s="129"/>
    </row>
    <row r="85" spans="1:8" ht="32.25" customHeight="1" x14ac:dyDescent="0.25">
      <c r="A85" s="48">
        <f>A83+1</f>
        <v>11</v>
      </c>
      <c r="B85" s="149" t="s">
        <v>12</v>
      </c>
      <c r="C85" s="5"/>
      <c r="D85" s="1">
        <v>0</v>
      </c>
      <c r="E85" s="128" t="s">
        <v>5</v>
      </c>
      <c r="G85" s="128" t="s">
        <v>60</v>
      </c>
      <c r="H85" s="109"/>
    </row>
    <row r="86" spans="1:8" ht="13" x14ac:dyDescent="0.25">
      <c r="A86" s="130"/>
      <c r="B86" s="152"/>
      <c r="C86" s="153"/>
      <c r="D86" s="138"/>
      <c r="E86" s="129"/>
      <c r="G86" s="129"/>
    </row>
    <row r="87" spans="1:8" ht="73.5" customHeight="1" x14ac:dyDescent="0.25">
      <c r="A87" s="48">
        <f>A85+1</f>
        <v>12</v>
      </c>
      <c r="B87" s="133" t="s">
        <v>210</v>
      </c>
      <c r="C87" s="5"/>
      <c r="D87" s="1">
        <v>0</v>
      </c>
      <c r="E87" s="128" t="s">
        <v>5</v>
      </c>
      <c r="G87" s="128" t="s">
        <v>60</v>
      </c>
      <c r="H87" s="109"/>
    </row>
    <row r="88" spans="1:8" ht="13" x14ac:dyDescent="0.25">
      <c r="B88" s="152"/>
      <c r="C88" s="154"/>
      <c r="D88" s="138"/>
      <c r="E88" s="129"/>
      <c r="G88" s="129"/>
    </row>
    <row r="89" spans="1:8" s="20" customFormat="1" ht="77.25" customHeight="1" x14ac:dyDescent="0.25">
      <c r="A89" s="48">
        <f>A87+1</f>
        <v>13</v>
      </c>
      <c r="B89" s="155" t="s">
        <v>211</v>
      </c>
      <c r="C89" s="5"/>
      <c r="D89" s="1">
        <v>0</v>
      </c>
      <c r="E89" s="128" t="s">
        <v>9</v>
      </c>
      <c r="G89" s="128" t="s">
        <v>60</v>
      </c>
    </row>
    <row r="90" spans="1:8" ht="13" x14ac:dyDescent="0.25">
      <c r="A90" s="130"/>
      <c r="B90" s="152"/>
      <c r="C90" s="153"/>
      <c r="D90" s="138"/>
      <c r="E90" s="129"/>
      <c r="G90" s="129"/>
    </row>
    <row r="91" spans="1:8" ht="28.5" customHeight="1" x14ac:dyDescent="0.25">
      <c r="A91" s="48">
        <f>A89+1</f>
        <v>14</v>
      </c>
      <c r="B91" s="155" t="s">
        <v>322</v>
      </c>
      <c r="C91" s="5"/>
      <c r="D91" s="1">
        <v>0</v>
      </c>
      <c r="E91" s="128" t="s">
        <v>5</v>
      </c>
      <c r="G91" s="128" t="s">
        <v>60</v>
      </c>
    </row>
    <row r="92" spans="1:8" s="20" customFormat="1" ht="13" x14ac:dyDescent="0.25">
      <c r="A92" s="48"/>
      <c r="B92" s="152"/>
      <c r="C92" s="156"/>
      <c r="D92" s="138"/>
      <c r="E92" s="129"/>
      <c r="G92" s="129"/>
    </row>
    <row r="93" spans="1:8" s="20" customFormat="1" ht="40.5" customHeight="1" x14ac:dyDescent="0.25">
      <c r="A93" s="48">
        <f>A91+1</f>
        <v>15</v>
      </c>
      <c r="B93" s="133" t="s">
        <v>315</v>
      </c>
      <c r="C93" s="5"/>
      <c r="D93" s="793">
        <v>0</v>
      </c>
      <c r="E93" s="789" t="s">
        <v>5</v>
      </c>
      <c r="F93" s="48"/>
      <c r="G93" s="789" t="s">
        <v>60</v>
      </c>
    </row>
    <row r="94" spans="1:8" s="20" customFormat="1" ht="48" customHeight="1" x14ac:dyDescent="0.25">
      <c r="A94" s="48">
        <f>+A93+1</f>
        <v>16</v>
      </c>
      <c r="B94" s="133" t="s">
        <v>316</v>
      </c>
      <c r="C94" s="5"/>
      <c r="D94" s="793">
        <v>0</v>
      </c>
      <c r="E94" s="789" t="s">
        <v>5</v>
      </c>
      <c r="F94" s="48"/>
      <c r="G94" s="789" t="s">
        <v>60</v>
      </c>
    </row>
    <row r="95" spans="1:8" s="20" customFormat="1" ht="42" customHeight="1" x14ac:dyDescent="0.25">
      <c r="A95" s="48">
        <f>+A94+1</f>
        <v>17</v>
      </c>
      <c r="B95" s="127" t="s">
        <v>317</v>
      </c>
      <c r="C95" s="5"/>
      <c r="D95" s="793">
        <v>0</v>
      </c>
      <c r="E95" s="789" t="s">
        <v>9</v>
      </c>
      <c r="F95" s="685"/>
      <c r="G95" s="789" t="s">
        <v>60</v>
      </c>
    </row>
    <row r="96" spans="1:8" ht="13" x14ac:dyDescent="0.25">
      <c r="B96" s="152"/>
      <c r="C96" s="154"/>
      <c r="D96" s="138"/>
      <c r="E96" s="129"/>
      <c r="G96" s="129"/>
    </row>
    <row r="97" spans="1:7" s="20" customFormat="1" ht="21" customHeight="1" x14ac:dyDescent="0.25">
      <c r="A97" s="48">
        <f>+A95+1</f>
        <v>18</v>
      </c>
      <c r="B97" s="750" t="s">
        <v>13</v>
      </c>
      <c r="C97" s="158"/>
      <c r="D97" s="134">
        <f>D98*D101</f>
        <v>0</v>
      </c>
      <c r="E97" s="128" t="s">
        <v>5</v>
      </c>
      <c r="G97" s="161"/>
    </row>
    <row r="98" spans="1:7" s="20" customFormat="1" ht="48" customHeight="1" x14ac:dyDescent="0.25">
      <c r="B98" s="751" t="str">
        <f>"Gemiddelde voorraad niet-geïmmobiliseerde groenestroom- en warmtekrachtcertificaten (boekhoudkundige waarde) voor boekjaar "&amp;D12</f>
        <v>Gemiddelde voorraad niet-geïmmobiliseerde groenestroom- en warmtekrachtcertificaten (boekhoudkundige waarde) voor boekjaar 2019</v>
      </c>
      <c r="C98" s="159"/>
      <c r="D98" s="160">
        <f>AVERAGE(D99:D100)</f>
        <v>0</v>
      </c>
      <c r="G98" s="161"/>
    </row>
    <row r="99" spans="1:7" s="20" customFormat="1" ht="36.75" customHeight="1" x14ac:dyDescent="0.25">
      <c r="B99" s="440" t="str">
        <f>"Beginvoorraad niet-geïmmobiliseerde groenestroom- en warmtekrachtcertificaten (01/01/"&amp;D12&amp;")"</f>
        <v>Beginvoorraad niet-geïmmobiliseerde groenestroom- en warmtekrachtcertificaten (01/01/2019)</v>
      </c>
      <c r="C99" s="5"/>
      <c r="D99" s="2">
        <v>0</v>
      </c>
      <c r="G99" s="161" t="s">
        <v>60</v>
      </c>
    </row>
    <row r="100" spans="1:7" s="20" customFormat="1" ht="33.75" customHeight="1" x14ac:dyDescent="0.25">
      <c r="B100" s="440" t="str">
        <f>"Eindvoorraad niet-geïmmobiliseerde groenestroom- en warmtekrachtcertificaten (31/12/"&amp;D12&amp;")"</f>
        <v>Eindvoorraad niet-geïmmobiliseerde groenestroom- en warmtekrachtcertificaten (31/12/2019)</v>
      </c>
      <c r="C100" s="5"/>
      <c r="D100" s="2">
        <v>0</v>
      </c>
      <c r="G100" s="161" t="s">
        <v>60</v>
      </c>
    </row>
    <row r="101" spans="1:7" s="20" customFormat="1" ht="29.25" customHeight="1" x14ac:dyDescent="0.25">
      <c r="B101" s="433" t="str">
        <f>"Kapitaalkostvergoeding voor boekjaar "&amp;D12&amp;" (in te vullen door de VREG)"</f>
        <v>Kapitaalkostvergoeding voor boekjaar 2019 (in te vullen door de VREG)</v>
      </c>
      <c r="C101" s="162"/>
      <c r="D101" s="724">
        <v>0</v>
      </c>
      <c r="G101" s="161"/>
    </row>
    <row r="102" spans="1:7" ht="13" x14ac:dyDescent="0.25">
      <c r="B102" s="152"/>
      <c r="C102" s="154"/>
      <c r="D102" s="164"/>
      <c r="E102" s="129"/>
      <c r="G102" s="48"/>
    </row>
    <row r="103" spans="1:7" s="20" customFormat="1" ht="59.25" customHeight="1" x14ac:dyDescent="0.25">
      <c r="A103" s="48">
        <f>A97+1</f>
        <v>19</v>
      </c>
      <c r="B103" s="127" t="s">
        <v>309</v>
      </c>
      <c r="C103" s="7" t="s">
        <v>282</v>
      </c>
      <c r="D103" s="683">
        <f>IF(R1="ex-ante",0,'T9'!D25)</f>
        <v>0</v>
      </c>
      <c r="E103" s="128" t="s">
        <v>5</v>
      </c>
      <c r="G103" s="161"/>
    </row>
    <row r="104" spans="1:7" ht="13" x14ac:dyDescent="0.25">
      <c r="B104" s="152"/>
      <c r="C104" s="154"/>
      <c r="D104" s="138"/>
      <c r="E104" s="129"/>
      <c r="G104" s="48"/>
    </row>
    <row r="105" spans="1:7" s="20" customFormat="1" ht="28.5" customHeight="1" x14ac:dyDescent="0.25">
      <c r="A105" s="48">
        <f>A103+1</f>
        <v>20</v>
      </c>
      <c r="B105" s="127" t="s">
        <v>278</v>
      </c>
      <c r="C105" s="158"/>
      <c r="D105" s="134">
        <f>D106*D109</f>
        <v>0</v>
      </c>
      <c r="E105" s="128" t="s">
        <v>5</v>
      </c>
      <c r="G105" s="161"/>
    </row>
    <row r="106" spans="1:7" s="20" customFormat="1" ht="36" customHeight="1" x14ac:dyDescent="0.25">
      <c r="B106" s="433" t="str">
        <f>"Gemiddelde waarde regulatoir actief/passief voor boekjaar "&amp;D12&amp;" (positieve waarde voor regulatoir actief, en omgekeerd)"</f>
        <v>Gemiddelde waarde regulatoir actief/passief voor boekjaar 2019 (positieve waarde voor regulatoir actief, en omgekeerd)</v>
      </c>
      <c r="C106" s="159"/>
      <c r="D106" s="160">
        <f>AVERAGE(D107:D108)</f>
        <v>0</v>
      </c>
      <c r="G106" s="161"/>
    </row>
    <row r="107" spans="1:7" s="20" customFormat="1" ht="48" customHeight="1" x14ac:dyDescent="0.25">
      <c r="B107" s="440" t="str">
        <f>"Waarde regulatoir actief/passief bij het begin van het boekjaar (01/01/"&amp;D12&amp;") (positieve waarde voor regulatoir actief, en omgekeerd)"</f>
        <v>Waarde regulatoir actief/passief bij het begin van het boekjaar (01/01/2019) (positieve waarde voor regulatoir actief, en omgekeerd)</v>
      </c>
      <c r="C107" s="7" t="s">
        <v>129</v>
      </c>
      <c r="D107" s="2">
        <v>0</v>
      </c>
      <c r="G107" s="161" t="s">
        <v>60</v>
      </c>
    </row>
    <row r="108" spans="1:7" s="20" customFormat="1" ht="45.75" customHeight="1" x14ac:dyDescent="0.25">
      <c r="B108" s="440" t="str">
        <f>"Waarde regulatoir actief/passief op het einde van het boekjaar (31/12/"&amp;D12&amp;") (positieve waarde voor regulatoir actief, en omgekeerd)"</f>
        <v>Waarde regulatoir actief/passief op het einde van het boekjaar (31/12/2019) (positieve waarde voor regulatoir actief, en omgekeerd)</v>
      </c>
      <c r="C108" s="7" t="s">
        <v>129</v>
      </c>
      <c r="D108" s="2">
        <v>0</v>
      </c>
      <c r="G108" s="161" t="s">
        <v>60</v>
      </c>
    </row>
    <row r="109" spans="1:7" s="20" customFormat="1" ht="27.75" customHeight="1" x14ac:dyDescent="0.25">
      <c r="B109" s="433" t="str">
        <f>"Kapitaalkostvergoeding voor boekjaar "&amp;D12&amp;" (in te vullen door de VREG)"</f>
        <v>Kapitaalkostvergoeding voor boekjaar 2019 (in te vullen door de VREG)</v>
      </c>
      <c r="C109" s="126"/>
      <c r="D109" s="724">
        <v>0</v>
      </c>
      <c r="G109" s="161"/>
    </row>
    <row r="110" spans="1:7" s="20" customFormat="1" ht="13" x14ac:dyDescent="0.25">
      <c r="A110" s="48"/>
      <c r="B110" s="152"/>
      <c r="C110" s="156"/>
      <c r="D110" s="164"/>
      <c r="E110" s="129"/>
    </row>
    <row r="111" spans="1:7" s="20" customFormat="1" ht="32.25" customHeight="1" x14ac:dyDescent="0.25">
      <c r="A111" s="48">
        <f>+A105+1</f>
        <v>21</v>
      </c>
      <c r="B111" s="127" t="s">
        <v>310</v>
      </c>
      <c r="C111" s="827"/>
      <c r="D111" s="667">
        <f>+D112*D113</f>
        <v>0</v>
      </c>
      <c r="E111" s="128" t="s">
        <v>5</v>
      </c>
      <c r="G111" s="161"/>
    </row>
    <row r="112" spans="1:7" s="20" customFormat="1" ht="48.75" customHeight="1" x14ac:dyDescent="0.25">
      <c r="B112" s="433" t="str">
        <f>"Gecumuleerd regulatoir saldo exogene kosten m.b.t. distributie bij het begin van het boekjaar (01/01/"&amp;Q1&amp;") (positieve waarde voor tekort, en omgekeerd)"</f>
        <v>Gecumuleerd regulatoir saldo exogene kosten m.b.t. distributie bij het begin van het boekjaar (01/01/2019) (positieve waarde voor tekort, en omgekeerd)</v>
      </c>
      <c r="C112" s="7" t="s">
        <v>193</v>
      </c>
      <c r="D112" s="2">
        <v>0</v>
      </c>
      <c r="G112" s="161" t="s">
        <v>60</v>
      </c>
    </row>
    <row r="113" spans="1:7" s="20" customFormat="1" ht="33" customHeight="1" x14ac:dyDescent="0.25">
      <c r="B113" s="433" t="str">
        <f>"Kapitaalkostvergoeding voor boekjaar "&amp;Q1&amp;" (in te vullen door de VREG)"</f>
        <v>Kapitaalkostvergoeding voor boekjaar 2019 (in te vullen door de VREG)</v>
      </c>
      <c r="C113" s="126"/>
      <c r="D113" s="724">
        <v>0</v>
      </c>
      <c r="G113" s="161"/>
    </row>
    <row r="114" spans="1:7" s="20" customFormat="1" ht="32.25" customHeight="1" x14ac:dyDescent="0.25">
      <c r="A114" s="48"/>
      <c r="B114" s="127" t="s">
        <v>311</v>
      </c>
      <c r="C114" s="826"/>
      <c r="D114" s="683">
        <f>+D115*D116</f>
        <v>0</v>
      </c>
      <c r="E114" s="128" t="s">
        <v>5</v>
      </c>
      <c r="G114" s="161"/>
    </row>
    <row r="115" spans="1:7" s="20" customFormat="1" ht="42" customHeight="1" x14ac:dyDescent="0.25">
      <c r="B115" s="433" t="str">
        <f>"Gecumuleerd regulatoir saldo exogene kosten m.b.t. transmissie bij het begin van het boekjaar (01/01/"&amp;Q1&amp;") (positieve waarde voor tekort, en omgekeerd)"</f>
        <v>Gecumuleerd regulatoir saldo exogene kosten m.b.t. transmissie bij het begin van het boekjaar (01/01/2019) (positieve waarde voor tekort, en omgekeerd)</v>
      </c>
      <c r="C115" s="7" t="s">
        <v>314</v>
      </c>
      <c r="D115" s="2">
        <v>0</v>
      </c>
      <c r="E115" s="598"/>
      <c r="G115" s="161" t="s">
        <v>60</v>
      </c>
    </row>
    <row r="116" spans="1:7" s="20" customFormat="1" ht="33" customHeight="1" x14ac:dyDescent="0.25">
      <c r="B116" s="433" t="str">
        <f>"Kapitaalkostvergoeding voor boekjaar "&amp;Q1&amp;" (in te vullen door de VREG)"</f>
        <v>Kapitaalkostvergoeding voor boekjaar 2019 (in te vullen door de VREG)</v>
      </c>
      <c r="C116" s="828"/>
      <c r="D116" s="724">
        <v>0</v>
      </c>
      <c r="E116" s="598"/>
      <c r="G116" s="161"/>
    </row>
    <row r="117" spans="1:7" s="20" customFormat="1" ht="13" x14ac:dyDescent="0.25">
      <c r="A117" s="48"/>
      <c r="B117" s="152"/>
      <c r="C117" s="156"/>
      <c r="D117" s="164"/>
      <c r="E117" s="129"/>
    </row>
    <row r="118" spans="1:7" s="20" customFormat="1" ht="48" customHeight="1" x14ac:dyDescent="0.25">
      <c r="A118" s="48">
        <f>A111+1</f>
        <v>22</v>
      </c>
      <c r="B118" s="127" t="s">
        <v>251</v>
      </c>
      <c r="C118" s="158"/>
      <c r="D118" s="667">
        <f>D119*D122</f>
        <v>0</v>
      </c>
      <c r="E118" s="128" t="s">
        <v>5</v>
      </c>
      <c r="G118" s="161"/>
    </row>
    <row r="119" spans="1:7" s="20" customFormat="1" ht="51" customHeight="1" x14ac:dyDescent="0.25">
      <c r="B119" s="433" t="str">
        <f>"Gemiddeld regulatoir saldo volumeverschillen m.b.t. endogene kosten (uitgezonderd volumeverschillen m.b.t. EAN's) voor boekjaar "&amp;D12&amp;" (positieve waarde voor tekort, en omgekeerd)"</f>
        <v>Gemiddeld regulatoir saldo volumeverschillen m.b.t. endogene kosten (uitgezonderd volumeverschillen m.b.t. EAN's) voor boekjaar 2019 (positieve waarde voor tekort, en omgekeerd)</v>
      </c>
      <c r="C119" s="159"/>
      <c r="D119" s="160">
        <f>AVERAGE(D120:D121)</f>
        <v>0</v>
      </c>
      <c r="G119" s="161"/>
    </row>
    <row r="120" spans="1:7" s="20" customFormat="1" ht="57" customHeight="1" x14ac:dyDescent="0.25">
      <c r="B120" s="440" t="str">
        <f>"Regulatoir saldo volumeverschillen m.b.t. endogene kosten (uitgez. volumeverschillen m.b.t. EAN's) bij het begin van het boekjaar (01/01/"&amp;D12&amp;") (positieve waarde voor tekort, en omgekeerd)"</f>
        <v>Regulatoir saldo volumeverschillen m.b.t. endogene kosten (uitgez. volumeverschillen m.b.t. EAN's) bij het begin van het boekjaar (01/01/2019) (positieve waarde voor tekort, en omgekeerd)</v>
      </c>
      <c r="C120" s="7" t="s">
        <v>178</v>
      </c>
      <c r="D120" s="2">
        <v>0</v>
      </c>
      <c r="G120" s="161" t="s">
        <v>60</v>
      </c>
    </row>
    <row r="121" spans="1:7" s="20" customFormat="1" ht="58.5" customHeight="1" x14ac:dyDescent="0.25">
      <c r="B121" s="440" t="str">
        <f>"Regulatoir saldo volumeverschillen m.b.t. endogene kosten (uitgez. volumeverschillen m.b.t. EAN's) op het einde van het boekjaar (31/12/"&amp;D12&amp;") (positieve waarde voor tekort, en omgekeerd)"</f>
        <v>Regulatoir saldo volumeverschillen m.b.t. endogene kosten (uitgez. volumeverschillen m.b.t. EAN's) op het einde van het boekjaar (31/12/2019) (positieve waarde voor tekort, en omgekeerd)</v>
      </c>
      <c r="C121" s="7" t="s">
        <v>178</v>
      </c>
      <c r="D121" s="2">
        <v>0</v>
      </c>
      <c r="G121" s="161" t="s">
        <v>60</v>
      </c>
    </row>
    <row r="122" spans="1:7" s="20" customFormat="1" ht="32.25" customHeight="1" x14ac:dyDescent="0.25">
      <c r="B122" s="433" t="str">
        <f>"Kapitaalkostvergoeding voor boekjaar "&amp;D12&amp;" (in te vullen door de VREG)"</f>
        <v>Kapitaalkostvergoeding voor boekjaar 2019 (in te vullen door de VREG)</v>
      </c>
      <c r="C122" s="126"/>
      <c r="D122" s="724">
        <v>0</v>
      </c>
      <c r="G122" s="161"/>
    </row>
    <row r="123" spans="1:7" s="20" customFormat="1" ht="13" x14ac:dyDescent="0.25">
      <c r="A123" s="48"/>
      <c r="B123" s="152"/>
      <c r="C123" s="156"/>
      <c r="D123" s="164"/>
      <c r="E123" s="129"/>
    </row>
    <row r="124" spans="1:7" s="20" customFormat="1" ht="42" customHeight="1" x14ac:dyDescent="0.25">
      <c r="A124" s="48">
        <f>+A118+1</f>
        <v>23</v>
      </c>
      <c r="B124" s="127" t="s">
        <v>256</v>
      </c>
      <c r="C124" s="158"/>
      <c r="D124" s="667">
        <f>D125*D128</f>
        <v>0</v>
      </c>
      <c r="E124" s="128" t="s">
        <v>5</v>
      </c>
      <c r="G124" s="161"/>
    </row>
    <row r="125" spans="1:7" s="20" customFormat="1" ht="51" customHeight="1" x14ac:dyDescent="0.25">
      <c r="B125" s="433" t="str">
        <f>"Gemiddeld regulatoir saldo herindexering van het budget voor endogene kosten voor boekjaar "&amp;D12&amp;" (positieve waarde voor tekort, en omgekeerd)"</f>
        <v>Gemiddeld regulatoir saldo herindexering van het budget voor endogene kosten voor boekjaar 2019 (positieve waarde voor tekort, en omgekeerd)</v>
      </c>
      <c r="C125" s="159"/>
      <c r="D125" s="160">
        <f>AVERAGE(D126:D127)</f>
        <v>0</v>
      </c>
      <c r="G125" s="161"/>
    </row>
    <row r="126" spans="1:7" s="20" customFormat="1" ht="46.5" customHeight="1" x14ac:dyDescent="0.25">
      <c r="B126" s="440" t="str">
        <f>"Regulatoir saldo herindexering van het budget voor endogene kosten bij het begin van het boekjaar (01/01/"&amp;D12&amp;") (positieve waarde voor tekort, en omgekeerd)"</f>
        <v>Regulatoir saldo herindexering van het budget voor endogene kosten bij het begin van het boekjaar (01/01/2019) (positieve waarde voor tekort, en omgekeerd)</v>
      </c>
      <c r="C126" s="7" t="s">
        <v>270</v>
      </c>
      <c r="D126" s="2">
        <v>0</v>
      </c>
      <c r="G126" s="161" t="s">
        <v>60</v>
      </c>
    </row>
    <row r="127" spans="1:7" s="20" customFormat="1" ht="45" customHeight="1" x14ac:dyDescent="0.25">
      <c r="B127" s="440" t="str">
        <f>"Regulatoir saldo herindexering van het budget voor endogene kosten op het einde van het boekjaar (31/12/"&amp;D12&amp;") (positieve waarde voor tekort, en omgekeerd)"</f>
        <v>Regulatoir saldo herindexering van het budget voor endogene kosten op het einde van het boekjaar (31/12/2019) (positieve waarde voor tekort, en omgekeerd)</v>
      </c>
      <c r="C127" s="7" t="s">
        <v>270</v>
      </c>
      <c r="D127" s="2">
        <v>0</v>
      </c>
      <c r="G127" s="161" t="s">
        <v>60</v>
      </c>
    </row>
    <row r="128" spans="1:7" s="20" customFormat="1" ht="32.25" customHeight="1" x14ac:dyDescent="0.25">
      <c r="B128" s="433" t="str">
        <f>"Kapitaalkostvergoeding voor boekjaar "&amp;D12&amp;" (in te vullen door de VREG)"</f>
        <v>Kapitaalkostvergoeding voor boekjaar 2019 (in te vullen door de VREG)</v>
      </c>
      <c r="C128" s="126"/>
      <c r="D128" s="724">
        <v>0</v>
      </c>
      <c r="G128" s="161"/>
    </row>
    <row r="129" spans="1:7" s="20" customFormat="1" ht="13" x14ac:dyDescent="0.25">
      <c r="A129" s="48"/>
      <c r="B129" s="152"/>
      <c r="C129" s="156"/>
      <c r="D129" s="720"/>
      <c r="E129" s="129"/>
    </row>
    <row r="130" spans="1:7" s="20" customFormat="1" ht="36" customHeight="1" x14ac:dyDescent="0.25">
      <c r="A130" s="48">
        <f>+A124+1</f>
        <v>24</v>
      </c>
      <c r="B130" s="127" t="s">
        <v>274</v>
      </c>
      <c r="C130" s="158"/>
      <c r="D130" s="683">
        <f>D131*D134</f>
        <v>0</v>
      </c>
      <c r="E130" s="128" t="s">
        <v>5</v>
      </c>
      <c r="G130" s="161"/>
    </row>
    <row r="131" spans="1:7" s="20" customFormat="1" ht="44.25" customHeight="1" x14ac:dyDescent="0.25">
      <c r="B131" s="433" t="str">
        <f>"Gemiddeld regulatoir saldo inzake vennootschapsbelasting voor boekjaar "&amp;D12&amp;" (positieve waarde voor tekort, en omgekeerd)"</f>
        <v>Gemiddeld regulatoir saldo inzake vennootschapsbelasting voor boekjaar 2019 (positieve waarde voor tekort, en omgekeerd)</v>
      </c>
      <c r="C131" s="159"/>
      <c r="D131" s="160">
        <f>AVERAGE(D132:D133)</f>
        <v>0</v>
      </c>
      <c r="G131" s="161"/>
    </row>
    <row r="132" spans="1:7" s="20" customFormat="1" ht="46.5" customHeight="1" x14ac:dyDescent="0.25">
      <c r="B132" s="440" t="str">
        <f>"Regulatoir saldo inzake vennootschapsbelasting bij het begin van het boekjaar (01/01/"&amp;D12&amp;") (positieve waarde voor tekort, en omgekeerd)"</f>
        <v>Regulatoir saldo inzake vennootschapsbelasting bij het begin van het boekjaar (01/01/2019) (positieve waarde voor tekort, en omgekeerd)</v>
      </c>
      <c r="C132" s="7" t="s">
        <v>128</v>
      </c>
      <c r="D132" s="2">
        <v>0</v>
      </c>
      <c r="G132" s="161" t="s">
        <v>60</v>
      </c>
    </row>
    <row r="133" spans="1:7" s="20" customFormat="1" ht="45" customHeight="1" x14ac:dyDescent="0.25">
      <c r="B133" s="440" t="str">
        <f>"Regulatoir saldo m.b.t. vennootschapsbelasting op het einde van het boekjaar (31/12/"&amp;D12&amp;") (positieve waarde voor tekort, en omgekeerd)"</f>
        <v>Regulatoir saldo m.b.t. vennootschapsbelasting op het einde van het boekjaar (31/12/2019) (positieve waarde voor tekort, en omgekeerd)</v>
      </c>
      <c r="C133" s="7" t="s">
        <v>128</v>
      </c>
      <c r="D133" s="2">
        <v>0</v>
      </c>
      <c r="G133" s="161" t="s">
        <v>60</v>
      </c>
    </row>
    <row r="134" spans="1:7" s="20" customFormat="1" ht="32.25" customHeight="1" x14ac:dyDescent="0.25">
      <c r="B134" s="433" t="str">
        <f>"Kapitaalkostvergoeding voor boekjaar "&amp;D12&amp;" (in te vullen door de VREG)"</f>
        <v>Kapitaalkostvergoeding voor boekjaar 2019 (in te vullen door de VREG)</v>
      </c>
      <c r="C134" s="126"/>
      <c r="D134" s="724">
        <v>0</v>
      </c>
      <c r="G134" s="161"/>
    </row>
    <row r="135" spans="1:7" ht="13" x14ac:dyDescent="0.25">
      <c r="B135" s="152"/>
      <c r="C135" s="154"/>
      <c r="D135" s="164"/>
      <c r="E135" s="129"/>
      <c r="G135" s="48"/>
    </row>
    <row r="136" spans="1:7" ht="19.5" customHeight="1" x14ac:dyDescent="0.25">
      <c r="A136" s="48">
        <f>+A130+1</f>
        <v>25</v>
      </c>
      <c r="B136" s="127" t="s">
        <v>51</v>
      </c>
      <c r="C136" s="7" t="s">
        <v>291</v>
      </c>
      <c r="D136" s="134">
        <f>+'T10'!E40</f>
        <v>0</v>
      </c>
      <c r="E136" s="128" t="s">
        <v>5</v>
      </c>
      <c r="G136" s="161"/>
    </row>
    <row r="137" spans="1:7" ht="13" x14ac:dyDescent="0.25">
      <c r="B137" s="152"/>
      <c r="C137" s="154"/>
      <c r="D137" s="164"/>
      <c r="E137" s="129"/>
      <c r="G137" s="129"/>
    </row>
    <row r="138" spans="1:7" ht="13" x14ac:dyDescent="0.25">
      <c r="B138" s="152"/>
      <c r="C138" s="154"/>
      <c r="D138" s="111" t="s">
        <v>0</v>
      </c>
      <c r="E138" s="129"/>
      <c r="G138" s="129"/>
    </row>
    <row r="139" spans="1:7" x14ac:dyDescent="0.25">
      <c r="B139" s="165"/>
      <c r="C139" s="166"/>
      <c r="D139" s="167">
        <f>D12</f>
        <v>2019</v>
      </c>
      <c r="E139" s="163"/>
      <c r="F139" s="50"/>
      <c r="G139" s="163"/>
    </row>
    <row r="140" spans="1:7" ht="13" x14ac:dyDescent="0.25">
      <c r="B140" s="168"/>
      <c r="C140" s="169"/>
      <c r="D140" s="170" t="str">
        <f>D13</f>
        <v>Naam distributienetbeheerder</v>
      </c>
      <c r="E140" s="163"/>
      <c r="F140" s="129"/>
      <c r="G140" s="163"/>
    </row>
    <row r="141" spans="1:7" x14ac:dyDescent="0.25">
      <c r="B141" s="171"/>
      <c r="C141" s="125"/>
      <c r="D141" s="172" t="str">
        <f>D14</f>
        <v>elektriciteit</v>
      </c>
      <c r="E141" s="163"/>
      <c r="F141" s="50"/>
      <c r="G141" s="163"/>
    </row>
    <row r="142" spans="1:7" ht="32.25" customHeight="1" x14ac:dyDescent="0.25">
      <c r="B142" s="115" t="s">
        <v>135</v>
      </c>
      <c r="C142" s="166"/>
      <c r="D142" s="772">
        <f>D21+D33+D42+D52+D55+D97+D103+D105+D111+D118+D124+D130+D64</f>
        <v>0</v>
      </c>
      <c r="E142" s="163"/>
      <c r="F142" s="50"/>
      <c r="G142" s="163"/>
    </row>
    <row r="143" spans="1:7" ht="21" customHeight="1" x14ac:dyDescent="0.25">
      <c r="B143" s="115" t="s">
        <v>136</v>
      </c>
      <c r="C143" s="166"/>
      <c r="D143" s="772">
        <f>D22+D34+D43+D56</f>
        <v>0</v>
      </c>
      <c r="E143" s="163"/>
      <c r="F143" s="50"/>
      <c r="G143" s="163"/>
    </row>
    <row r="144" spans="1:7" ht="31.5" customHeight="1" x14ac:dyDescent="0.25">
      <c r="B144" s="115" t="s">
        <v>137</v>
      </c>
      <c r="C144" s="166"/>
      <c r="D144" s="772">
        <f>D23+D44+D57</f>
        <v>0</v>
      </c>
      <c r="E144" s="163"/>
      <c r="F144" s="50"/>
      <c r="G144" s="163"/>
    </row>
    <row r="145" spans="2:7" ht="33" customHeight="1" x14ac:dyDescent="0.25">
      <c r="B145" s="117" t="s">
        <v>139</v>
      </c>
      <c r="C145" s="139"/>
      <c r="D145" s="772">
        <f>D24+D35+D45+D58+D66-D70+D76+D77-D80-D81+D83+D85+D87-D89+D91</f>
        <v>0</v>
      </c>
      <c r="E145" s="164"/>
      <c r="G145" s="164"/>
    </row>
    <row r="146" spans="2:7" ht="32.25" customHeight="1" x14ac:dyDescent="0.25">
      <c r="B146" s="794" t="s">
        <v>147</v>
      </c>
      <c r="C146" s="795"/>
      <c r="D146" s="772">
        <f>+D30+D59+D93+D94-D95+D114</f>
        <v>0</v>
      </c>
      <c r="E146" s="164"/>
      <c r="G146" s="164"/>
    </row>
    <row r="147" spans="2:7" ht="32.25" customHeight="1" x14ac:dyDescent="0.25">
      <c r="B147" s="117" t="s">
        <v>140</v>
      </c>
      <c r="C147" s="139"/>
      <c r="D147" s="772">
        <f>D25+D36+D46+D60</f>
        <v>0</v>
      </c>
      <c r="E147" s="164"/>
      <c r="G147" s="164"/>
    </row>
    <row r="148" spans="2:7" ht="32.25" customHeight="1" x14ac:dyDescent="0.25">
      <c r="B148" s="117" t="s">
        <v>141</v>
      </c>
      <c r="C148" s="139"/>
      <c r="D148" s="772">
        <f>+D26+D37+D47+D61</f>
        <v>0</v>
      </c>
      <c r="E148" s="164"/>
      <c r="G148" s="164"/>
    </row>
    <row r="149" spans="2:7" ht="32.25" customHeight="1" x14ac:dyDescent="0.25">
      <c r="B149" s="117" t="s">
        <v>142</v>
      </c>
      <c r="C149" s="139"/>
      <c r="D149" s="772">
        <f>+D27+D38+D48+D62</f>
        <v>0</v>
      </c>
      <c r="E149" s="164"/>
      <c r="G149" s="164"/>
    </row>
    <row r="150" spans="2:7" ht="31.5" customHeight="1" x14ac:dyDescent="0.25">
      <c r="B150" s="117" t="s">
        <v>143</v>
      </c>
      <c r="C150" s="139"/>
      <c r="D150" s="772">
        <f>+D28+D39+D49+D63+D136</f>
        <v>0</v>
      </c>
      <c r="E150" s="164"/>
      <c r="F150" s="50"/>
      <c r="G150" s="164"/>
    </row>
    <row r="151" spans="2:7" ht="13.5" customHeight="1" x14ac:dyDescent="0.25">
      <c r="B151" s="117"/>
      <c r="C151" s="139"/>
      <c r="D151" s="173"/>
      <c r="E151" s="164"/>
      <c r="F151" s="50"/>
      <c r="G151" s="164"/>
    </row>
    <row r="152" spans="2:7" ht="32.25" customHeight="1" x14ac:dyDescent="0.25">
      <c r="B152" s="773" t="s">
        <v>292</v>
      </c>
      <c r="C152" s="139"/>
      <c r="D152" s="774">
        <f>SUM(D147:D150,D142:D145)</f>
        <v>0</v>
      </c>
      <c r="E152" s="175"/>
      <c r="F152" s="50"/>
      <c r="G152" s="175"/>
    </row>
    <row r="153" spans="2:7" ht="32.25" customHeight="1" x14ac:dyDescent="0.25">
      <c r="B153" s="773" t="s">
        <v>293</v>
      </c>
      <c r="C153" s="139"/>
      <c r="D153" s="774">
        <f>SUM(D146)</f>
        <v>0</v>
      </c>
      <c r="E153" s="175"/>
      <c r="F153" s="50"/>
      <c r="G153" s="175"/>
    </row>
    <row r="154" spans="2:7" ht="32.25" customHeight="1" x14ac:dyDescent="0.25">
      <c r="B154" s="773" t="s">
        <v>326</v>
      </c>
      <c r="C154" s="139"/>
      <c r="D154" s="774">
        <f>+D152+D153</f>
        <v>0</v>
      </c>
      <c r="E154" s="175"/>
      <c r="F154" s="50"/>
      <c r="G154" s="175"/>
    </row>
  </sheetData>
  <customSheetViews>
    <customSheetView guid="{C8C7977F-B6BF-432B-A1A7-559450D521AF}" scale="85" topLeftCell="A67">
      <selection activeCell="B79" sqref="B79"/>
      <pageMargins left="0.75" right="0.75" top="1" bottom="1" header="0.5" footer="0.5"/>
      <pageSetup paperSize="9" orientation="portrait" r:id="rId1"/>
      <headerFooter alignWithMargins="0"/>
    </customSheetView>
  </customSheetViews>
  <mergeCells count="6">
    <mergeCell ref="A1:G1"/>
    <mergeCell ref="B16:B18"/>
    <mergeCell ref="C16:C18"/>
    <mergeCell ref="D16:D18"/>
    <mergeCell ref="E16:E18"/>
    <mergeCell ref="G16:G18"/>
  </mergeCells>
  <conditionalFormatting sqref="D42:D49 D52">
    <cfRule type="expression" dxfId="100" priority="30" stopIfTrue="1">
      <formula>$D$12=2017</formula>
    </cfRule>
  </conditionalFormatting>
  <conditionalFormatting sqref="B75:D77 B79:D81 B97:D101 B114:D116 B153:D153 B25:E26 B36:E37 B46:E47 B60:E61 B66:E73 E76:E77 E80:E81 B83:E83 B85:E85 B87:E87 B89:E89 B91:E91 E97 B103:E103 E114 G25:G26 G30 G36:G37 G46:G47 G60:G61 G66:G73 G75:G77 G80:G81 G83 G85 G87 G89 G91 G97:G101 G103 G114:G116 B93:B95 B30:E30 B146:D148">
    <cfRule type="expression" dxfId="99" priority="28" stopIfTrue="1">
      <formula>$D$14="gas"</formula>
    </cfRule>
  </conditionalFormatting>
  <conditionalFormatting sqref="B27:E27 G27 B38:E38 G38 B48:E48 G48 B62:E62 G62 B149:D149">
    <cfRule type="expression" dxfId="98" priority="27" stopIfTrue="1">
      <formula>$D$14="elektriciteit"</formula>
    </cfRule>
  </conditionalFormatting>
  <conditionalFormatting sqref="D124:D128 D130:D134">
    <cfRule type="expression" dxfId="97" priority="16" stopIfTrue="1">
      <formula>$Q$1&amp;$R$1="2017ex-ante"</formula>
    </cfRule>
  </conditionalFormatting>
  <conditionalFormatting sqref="C93">
    <cfRule type="expression" dxfId="96" priority="15" stopIfTrue="1">
      <formula>$D$14="gas"</formula>
    </cfRule>
  </conditionalFormatting>
  <conditionalFormatting sqref="C94">
    <cfRule type="expression" dxfId="95" priority="14" stopIfTrue="1">
      <formula>$D$14="gas"</formula>
    </cfRule>
  </conditionalFormatting>
  <conditionalFormatting sqref="C95">
    <cfRule type="expression" dxfId="94" priority="12" stopIfTrue="1">
      <formula>$D$14="gas"</formula>
    </cfRule>
  </conditionalFormatting>
  <conditionalFormatting sqref="D93">
    <cfRule type="expression" dxfId="93" priority="10" stopIfTrue="1">
      <formula>$D$14="gas"</formula>
    </cfRule>
  </conditionalFormatting>
  <conditionalFormatting sqref="G93">
    <cfRule type="expression" dxfId="92" priority="9" stopIfTrue="1">
      <formula>$D$14="gas"</formula>
    </cfRule>
  </conditionalFormatting>
  <conditionalFormatting sqref="E93">
    <cfRule type="expression" dxfId="91" priority="8" stopIfTrue="1">
      <formula>$D$14="gas"</formula>
    </cfRule>
  </conditionalFormatting>
  <conditionalFormatting sqref="D94">
    <cfRule type="expression" dxfId="90" priority="7" stopIfTrue="1">
      <formula>$D$14="gas"</formula>
    </cfRule>
  </conditionalFormatting>
  <conditionalFormatting sqref="G94">
    <cfRule type="expression" dxfId="89" priority="6" stopIfTrue="1">
      <formula>$D$14="gas"</formula>
    </cfRule>
  </conditionalFormatting>
  <conditionalFormatting sqref="E94">
    <cfRule type="expression" dxfId="88" priority="5" stopIfTrue="1">
      <formula>$D$14="gas"</formula>
    </cfRule>
  </conditionalFormatting>
  <conditionalFormatting sqref="D95">
    <cfRule type="expression" dxfId="87" priority="4" stopIfTrue="1">
      <formula>$D$14="gas"</formula>
    </cfRule>
  </conditionalFormatting>
  <conditionalFormatting sqref="G95">
    <cfRule type="expression" dxfId="86" priority="3" stopIfTrue="1">
      <formula>$D$14="gas"</formula>
    </cfRule>
  </conditionalFormatting>
  <conditionalFormatting sqref="E95">
    <cfRule type="expression" dxfId="85" priority="2" stopIfTrue="1">
      <formula>$D$14="gas"</formula>
    </cfRule>
  </conditionalFormatting>
  <conditionalFormatting sqref="B59:E59 G59">
    <cfRule type="expression" dxfId="84" priority="1" stopIfTrue="1">
      <formula>$D$14="gas"</formula>
    </cfRule>
  </conditionalFormatting>
  <conditionalFormatting sqref="D52">
    <cfRule type="expression" dxfId="83" priority="29" stopIfTrue="1">
      <formula>$D$12=2018</formula>
    </cfRule>
  </conditionalFormatting>
  <hyperlinks>
    <hyperlink ref="C20" location="T4B!A1" display="TABEL 4B"/>
    <hyperlink ref="C30" location="T4C!A1" display="TABEL 4C"/>
    <hyperlink ref="C32" location="T5B!A1" display="TABEL 5B"/>
    <hyperlink ref="C41" location="T6B!A1" display="TABEL 6B"/>
    <hyperlink ref="C51" location="'T7'!A1" display="TABEL 7"/>
    <hyperlink ref="C54" location="'T8'!A1" display="TABEL 8"/>
    <hyperlink ref="C103" location="'T9'!A1" display="TABEL 9"/>
    <hyperlink ref="C107" location="'T8'!A1" display="TABEL 8"/>
    <hyperlink ref="C108" location="'T8'!A1" display="TABEL 8"/>
    <hyperlink ref="C112" location="T4A!A1" display="TABEL 4A"/>
    <hyperlink ref="C115" location="T4C!A1" display="TABEL 4C"/>
    <hyperlink ref="C120" location="T5A!A1" display="TABEL 5A"/>
    <hyperlink ref="C121" location="T5A!A1" display="TABEL 5A"/>
    <hyperlink ref="C126" location="T6A!A1" display="TABEL 6A"/>
    <hyperlink ref="C127" location="T6A!A1" display="TABEL 6A"/>
    <hyperlink ref="C132" location="'T7'!A1" display="TABEL 7"/>
    <hyperlink ref="C133" location="'T7'!A1" display="TABEL 7"/>
    <hyperlink ref="C136" location="'T10'!A1" display="TABEL 10"/>
  </hyperlinks>
  <pageMargins left="0.74803149606299213" right="0.74803149606299213" top="0.98425196850393704" bottom="0.98425196850393704" header="0.51181102362204722" footer="0.51181102362204722"/>
  <pageSetup paperSize="8" scale="47" fitToWidth="3" fitToHeight="3" orientation="portrait" r:id="rId2"/>
  <headerFooter alignWithMargins="0"/>
  <rowBreaks count="2" manualBreakCount="2">
    <brk id="65" max="13" man="1"/>
    <brk id="110" max="13" man="1"/>
  </rowBreaks>
  <ignoredErrors>
    <ignoredError sqref="D70 D66 D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N189"/>
  <sheetViews>
    <sheetView zoomScale="85" zoomScaleNormal="85" workbookViewId="0">
      <selection activeCell="D30" sqref="D30"/>
    </sheetView>
  </sheetViews>
  <sheetFormatPr defaultColWidth="8.81640625" defaultRowHeight="12.5" x14ac:dyDescent="0.25"/>
  <cols>
    <col min="1" max="1" width="3.453125" style="48" customWidth="1"/>
    <col min="2" max="2" width="61.7265625" style="704" customWidth="1"/>
    <col min="3" max="3" width="16.453125" style="50" customWidth="1"/>
    <col min="4" max="4" width="26.7265625" style="176" customWidth="1"/>
    <col min="5" max="5" width="26.1796875" style="176" customWidth="1"/>
    <col min="6" max="6" width="12" style="710" customWidth="1"/>
    <col min="7" max="7" width="2.7265625" style="176" customWidth="1"/>
    <col min="8" max="10" width="8.81640625" style="48"/>
    <col min="11" max="11" width="14.1796875" style="48" customWidth="1"/>
    <col min="12" max="16384" width="8.81640625" style="48"/>
  </cols>
  <sheetData>
    <row r="1" spans="1:14" ht="18.5" thickBot="1" x14ac:dyDescent="0.3">
      <c r="A1" s="1001" t="s">
        <v>335</v>
      </c>
      <c r="B1" s="1002"/>
      <c r="C1" s="1002"/>
      <c r="D1" s="1002"/>
      <c r="E1" s="1002"/>
      <c r="F1" s="1002"/>
      <c r="G1" s="1003"/>
    </row>
    <row r="2" spans="1:14" x14ac:dyDescent="0.25">
      <c r="J2" s="483" t="str">
        <f>+TITELBLAD!B18</f>
        <v>Rapportering over boekjaar:</v>
      </c>
      <c r="K2" s="483"/>
      <c r="L2" s="483"/>
      <c r="M2" s="483">
        <f>+TITELBLAD!E18</f>
        <v>2019</v>
      </c>
      <c r="N2" s="483" t="str">
        <f>+TITELBLAD!F18</f>
        <v>ex-ante</v>
      </c>
    </row>
    <row r="3" spans="1:14" ht="13" x14ac:dyDescent="0.25">
      <c r="B3" s="49" t="s">
        <v>62</v>
      </c>
      <c r="F3" s="176"/>
      <c r="H3" s="50"/>
      <c r="J3" s="483"/>
      <c r="K3" s="483"/>
      <c r="L3" s="483"/>
      <c r="M3" s="483"/>
      <c r="N3" s="483"/>
    </row>
    <row r="4" spans="1:14" ht="13" x14ac:dyDescent="0.25">
      <c r="B4" s="51" t="s">
        <v>183</v>
      </c>
      <c r="F4" s="176"/>
      <c r="H4" s="50"/>
      <c r="J4" s="483"/>
      <c r="K4" s="483"/>
      <c r="L4" s="483"/>
      <c r="M4" s="483"/>
      <c r="N4" s="483"/>
    </row>
    <row r="5" spans="1:14" ht="13" x14ac:dyDescent="0.25">
      <c r="B5" s="120"/>
      <c r="F5" s="176"/>
      <c r="H5" s="50"/>
    </row>
    <row r="6" spans="1:14" ht="13" x14ac:dyDescent="0.25">
      <c r="B6" s="49"/>
      <c r="F6" s="176"/>
      <c r="H6" s="50"/>
    </row>
    <row r="7" spans="1:14" s="51" customFormat="1" ht="14.25" customHeight="1" x14ac:dyDescent="0.25">
      <c r="A7" s="177"/>
      <c r="B7" s="1016"/>
      <c r="C7" s="1016"/>
      <c r="D7" s="1016"/>
      <c r="E7" s="1016"/>
      <c r="H7" s="178"/>
    </row>
    <row r="8" spans="1:14" x14ac:dyDescent="0.25">
      <c r="A8" s="179"/>
      <c r="B8" s="1016"/>
      <c r="C8" s="1016"/>
      <c r="D8" s="1016"/>
      <c r="E8" s="1016"/>
      <c r="F8" s="176"/>
      <c r="H8" s="50"/>
    </row>
    <row r="9" spans="1:14" x14ac:dyDescent="0.25">
      <c r="F9" s="176"/>
      <c r="H9" s="50"/>
    </row>
    <row r="10" spans="1:14" ht="13" x14ac:dyDescent="0.25">
      <c r="D10" s="123" t="s">
        <v>0</v>
      </c>
      <c r="E10" s="123" t="s">
        <v>1</v>
      </c>
    </row>
    <row r="11" spans="1:14" ht="12.75" customHeight="1" x14ac:dyDescent="0.25">
      <c r="D11" s="711" t="s">
        <v>2</v>
      </c>
      <c r="E11" s="711" t="s">
        <v>2</v>
      </c>
    </row>
    <row r="12" spans="1:14" x14ac:dyDescent="0.25">
      <c r="D12" s="711">
        <f>'T2'!D6</f>
        <v>2019</v>
      </c>
      <c r="E12" s="711">
        <f>$D$12</f>
        <v>2019</v>
      </c>
    </row>
    <row r="13" spans="1:14" x14ac:dyDescent="0.25">
      <c r="D13" s="711" t="str">
        <f>+TITELBLAD!$C$7</f>
        <v>Naam distributienetbeheerder</v>
      </c>
      <c r="E13" s="711" t="str">
        <f>+TITELBLAD!$C$7</f>
        <v>Naam distributienetbeheerder</v>
      </c>
    </row>
    <row r="14" spans="1:14" x14ac:dyDescent="0.25">
      <c r="D14" s="711" t="str">
        <f>TITELBLAD!$C$12</f>
        <v>elektriciteit</v>
      </c>
      <c r="E14" s="711" t="str">
        <f>TITELBLAD!$C$12</f>
        <v>elektriciteit</v>
      </c>
    </row>
    <row r="15" spans="1:14" x14ac:dyDescent="0.25">
      <c r="D15" s="712"/>
      <c r="E15" s="712"/>
    </row>
    <row r="16" spans="1:14" x14ac:dyDescent="0.25">
      <c r="B16" s="1004" t="s">
        <v>195</v>
      </c>
      <c r="C16" s="1017" t="s">
        <v>3</v>
      </c>
      <c r="D16" s="1018"/>
      <c r="E16" s="1019"/>
      <c r="F16" s="1022" t="s">
        <v>4</v>
      </c>
    </row>
    <row r="17" spans="1:7" x14ac:dyDescent="0.25">
      <c r="B17" s="1005"/>
      <c r="C17" s="1017"/>
      <c r="D17" s="1018"/>
      <c r="E17" s="1020"/>
      <c r="F17" s="1022"/>
    </row>
    <row r="18" spans="1:7" ht="42" customHeight="1" x14ac:dyDescent="0.25">
      <c r="B18" s="1006"/>
      <c r="C18" s="1017"/>
      <c r="D18" s="1018"/>
      <c r="E18" s="1021"/>
      <c r="F18" s="1022"/>
    </row>
    <row r="20" spans="1:7" ht="37.5" x14ac:dyDescent="0.25">
      <c r="A20" s="48">
        <v>1</v>
      </c>
      <c r="B20" s="127" t="str">
        <f>+T3A!B20</f>
        <v>Afbouw regulatoir saldo inzake exogene kosten m.b.t. distributie, zoals vastgelegd in de tariefmethodologie (positieve waarde voor recuperatie tekort, en omgekeerd)</v>
      </c>
      <c r="C20" s="7" t="str">
        <f>+T3A!C20</f>
        <v>TABEL 4B</v>
      </c>
      <c r="D20" s="683"/>
      <c r="E20" s="683"/>
      <c r="F20" s="128"/>
    </row>
    <row r="21" spans="1:7" ht="18.75" customHeight="1" x14ac:dyDescent="0.25">
      <c r="B21" s="702" t="str">
        <f>+T3A!B21</f>
        <v>M.b.t. het basistarief voor het gebruik van het net</v>
      </c>
      <c r="C21" s="836"/>
      <c r="D21" s="780">
        <f>+T3A!D21</f>
        <v>0</v>
      </c>
      <c r="E21" s="780">
        <f>+D21</f>
        <v>0</v>
      </c>
      <c r="F21" s="789" t="s">
        <v>5</v>
      </c>
    </row>
    <row r="22" spans="1:7" ht="18.75" customHeight="1" x14ac:dyDescent="0.25">
      <c r="B22" s="702" t="str">
        <f>+T3A!B22</f>
        <v>M.b.t. het tarief voor het systeembeheer</v>
      </c>
      <c r="C22" s="703"/>
      <c r="D22" s="780">
        <f>+T3A!D22</f>
        <v>0</v>
      </c>
      <c r="E22" s="780">
        <f t="shared" ref="E22:E28" si="0">+D22</f>
        <v>0</v>
      </c>
      <c r="F22" s="789" t="s">
        <v>5</v>
      </c>
    </row>
    <row r="23" spans="1:7" ht="18" customHeight="1" x14ac:dyDescent="0.25">
      <c r="B23" s="702" t="str">
        <f>+T3A!B23</f>
        <v>M.b.t. het tarief voor de meet-en telactiviteit</v>
      </c>
      <c r="C23" s="703"/>
      <c r="D23" s="780">
        <f>+T3A!D23</f>
        <v>0</v>
      </c>
      <c r="E23" s="780">
        <f t="shared" si="0"/>
        <v>0</v>
      </c>
      <c r="F23" s="789" t="s">
        <v>5</v>
      </c>
    </row>
    <row r="24" spans="1:7" ht="16.5" customHeight="1" x14ac:dyDescent="0.25">
      <c r="B24" s="702" t="str">
        <f>+T3A!B24</f>
        <v>M.b.t. het tarief voor openbare dienstverplichtingen</v>
      </c>
      <c r="C24" s="703"/>
      <c r="D24" s="780">
        <f>+T3A!D24</f>
        <v>0</v>
      </c>
      <c r="E24" s="780">
        <f t="shared" si="0"/>
        <v>0</v>
      </c>
      <c r="F24" s="789" t="s">
        <v>5</v>
      </c>
    </row>
    <row r="25" spans="1:7" ht="27.75" customHeight="1" x14ac:dyDescent="0.25">
      <c r="B25" s="702" t="str">
        <f>+T3A!B25</f>
        <v>M.b.t. het tarief voor de regeling van de spanning en het reactief vermogen</v>
      </c>
      <c r="C25" s="703"/>
      <c r="D25" s="780">
        <f>+T3A!D25</f>
        <v>0</v>
      </c>
      <c r="E25" s="780">
        <f t="shared" si="0"/>
        <v>0</v>
      </c>
      <c r="F25" s="789" t="s">
        <v>5</v>
      </c>
    </row>
    <row r="26" spans="1:7" ht="17.25" customHeight="1" x14ac:dyDescent="0.25">
      <c r="B26" s="702" t="str">
        <f>+T3A!B26</f>
        <v>M.b.t. het tarief voor de compensatie van de netverliezen</v>
      </c>
      <c r="C26" s="703"/>
      <c r="D26" s="780">
        <f>+T3A!D26</f>
        <v>0</v>
      </c>
      <c r="E26" s="780">
        <f t="shared" si="0"/>
        <v>0</v>
      </c>
      <c r="F26" s="789" t="s">
        <v>5</v>
      </c>
    </row>
    <row r="27" spans="1:7" ht="19.5" customHeight="1" x14ac:dyDescent="0.25">
      <c r="B27" s="702" t="str">
        <f>+T3A!B27</f>
        <v>M.b.t. het tarief voor de supplementaire en complementaire diensten</v>
      </c>
      <c r="C27" s="703"/>
      <c r="D27" s="780">
        <f>+T3A!D27</f>
        <v>0</v>
      </c>
      <c r="E27" s="780">
        <f t="shared" si="0"/>
        <v>0</v>
      </c>
      <c r="F27" s="789" t="s">
        <v>5</v>
      </c>
    </row>
    <row r="28" spans="1:7" ht="32.25" customHeight="1" x14ac:dyDescent="0.25">
      <c r="B28" s="702" t="str">
        <f>+T3A!B28</f>
        <v>M.b.t. het tarief voor belastingen, heffingen, toeslagen, bijdragen en retributies</v>
      </c>
      <c r="C28" s="703"/>
      <c r="D28" s="780">
        <f>+T3A!D28</f>
        <v>0</v>
      </c>
      <c r="E28" s="780">
        <f t="shared" si="0"/>
        <v>0</v>
      </c>
      <c r="F28" s="789" t="s">
        <v>5</v>
      </c>
    </row>
    <row r="29" spans="1:7" s="130" customFormat="1" ht="14.25" customHeight="1" x14ac:dyDescent="0.25">
      <c r="B29" s="815"/>
      <c r="C29" s="833"/>
      <c r="D29" s="816"/>
      <c r="E29" s="48"/>
      <c r="F29" s="818"/>
      <c r="G29" s="714"/>
    </row>
    <row r="30" spans="1:7" ht="37.5" x14ac:dyDescent="0.25">
      <c r="A30" s="48">
        <f>+A20+1</f>
        <v>2</v>
      </c>
      <c r="B30" s="127" t="str">
        <f>+T3A!B30</f>
        <v>Afbouw regulatoir saldo inzake exogene kosten m.b.t. transmissie, zoals vastgelegd in de tariefmethodologie (positieve waarde voor recuperatie tekort, en omgekeerd)</v>
      </c>
      <c r="C30" s="7" t="str">
        <f>+T3A!C30</f>
        <v>TABEL 4C</v>
      </c>
      <c r="D30" s="796">
        <f>+T3A!D30</f>
        <v>0</v>
      </c>
      <c r="E30" s="796">
        <f>+D30</f>
        <v>0</v>
      </c>
      <c r="F30" s="789" t="s">
        <v>5</v>
      </c>
    </row>
    <row r="31" spans="1:7" s="130" customFormat="1" ht="13" x14ac:dyDescent="0.25">
      <c r="B31" s="705"/>
      <c r="C31" s="720"/>
      <c r="D31" s="713"/>
      <c r="E31" s="713"/>
      <c r="F31" s="132"/>
      <c r="G31" s="714"/>
    </row>
    <row r="32" spans="1:7" ht="50" x14ac:dyDescent="0.25">
      <c r="A32" s="48">
        <f>+A30+1</f>
        <v>3</v>
      </c>
      <c r="B32" s="127" t="str">
        <f>+T3A!B32</f>
        <v>Afbouw regulatoir saldo inzake volumeverschillen voor endogene kosten (uitgezonderd volumeverschillen m.b.t. EAN's), zoals vastgelegd in de tariefmethodologie (positieve waarde voor recuperatie tekort, en omgekeerd)</v>
      </c>
      <c r="C32" s="7" t="str">
        <f>+T3A!C32</f>
        <v>TABEL 5B</v>
      </c>
      <c r="D32" s="683"/>
      <c r="E32" s="683"/>
      <c r="F32" s="128"/>
    </row>
    <row r="33" spans="1:9" ht="18.75" customHeight="1" x14ac:dyDescent="0.25">
      <c r="B33" s="702" t="str">
        <f>+T3A!B33</f>
        <v>M.b.t. het basistarief voor het gebruik van het net</v>
      </c>
      <c r="C33" s="836"/>
      <c r="D33" s="780">
        <f>+T3A!D33</f>
        <v>0</v>
      </c>
      <c r="E33" s="780">
        <f>+D33</f>
        <v>0</v>
      </c>
      <c r="F33" s="789" t="s">
        <v>5</v>
      </c>
    </row>
    <row r="34" spans="1:9" ht="18.75" customHeight="1" x14ac:dyDescent="0.25">
      <c r="B34" s="702" t="str">
        <f>+T3A!B34</f>
        <v>M.b.t. het tarief voor het systeembeheer</v>
      </c>
      <c r="C34" s="703"/>
      <c r="D34" s="780">
        <f>+T3A!D34</f>
        <v>0</v>
      </c>
      <c r="E34" s="780">
        <f t="shared" ref="E34:E39" si="1">+D34</f>
        <v>0</v>
      </c>
      <c r="F34" s="789" t="s">
        <v>5</v>
      </c>
    </row>
    <row r="35" spans="1:9" ht="16.5" customHeight="1" x14ac:dyDescent="0.25">
      <c r="B35" s="702" t="str">
        <f>+T3A!B35</f>
        <v>M.b.t. het tarief voor openbare dienstverplichtingen</v>
      </c>
      <c r="C35" s="703"/>
      <c r="D35" s="780">
        <f>+T3A!D35</f>
        <v>0</v>
      </c>
      <c r="E35" s="780">
        <f t="shared" si="1"/>
        <v>0</v>
      </c>
      <c r="F35" s="789" t="s">
        <v>5</v>
      </c>
    </row>
    <row r="36" spans="1:9" ht="27.75" customHeight="1" x14ac:dyDescent="0.25">
      <c r="B36" s="702" t="str">
        <f>+T3A!B36</f>
        <v>M.b.t. het tarief voor de regeling van de spanning en het reactief vermogen</v>
      </c>
      <c r="C36" s="703"/>
      <c r="D36" s="780">
        <f>+T3A!D36</f>
        <v>0</v>
      </c>
      <c r="E36" s="780">
        <f t="shared" si="1"/>
        <v>0</v>
      </c>
      <c r="F36" s="789" t="s">
        <v>5</v>
      </c>
    </row>
    <row r="37" spans="1:9" ht="17.25" customHeight="1" x14ac:dyDescent="0.25">
      <c r="B37" s="702" t="str">
        <f>+T3A!B37</f>
        <v>M.b.t. het tarief voor de compensatie van de netverliezen</v>
      </c>
      <c r="C37" s="703"/>
      <c r="D37" s="780">
        <f>+T3A!D37</f>
        <v>0</v>
      </c>
      <c r="E37" s="780">
        <f t="shared" si="1"/>
        <v>0</v>
      </c>
      <c r="F37" s="789" t="s">
        <v>5</v>
      </c>
    </row>
    <row r="38" spans="1:9" ht="19.5" customHeight="1" x14ac:dyDescent="0.25">
      <c r="B38" s="702" t="str">
        <f>+T3A!B38</f>
        <v>M.b.t. het tarief voor de supplementaire en complementaire diensten</v>
      </c>
      <c r="C38" s="703"/>
      <c r="D38" s="780">
        <f>+T3A!D38</f>
        <v>0</v>
      </c>
      <c r="E38" s="780">
        <f t="shared" si="1"/>
        <v>0</v>
      </c>
      <c r="F38" s="789" t="s">
        <v>5</v>
      </c>
    </row>
    <row r="39" spans="1:9" ht="30" customHeight="1" x14ac:dyDescent="0.25">
      <c r="B39" s="702" t="str">
        <f>+T3A!B39</f>
        <v>M.b.t. het tarief voor belastingen, heffingen, toeslagen, bijdragen en retributies</v>
      </c>
      <c r="C39" s="703"/>
      <c r="D39" s="780">
        <f>+T3A!D39</f>
        <v>0</v>
      </c>
      <c r="E39" s="780">
        <f t="shared" si="1"/>
        <v>0</v>
      </c>
      <c r="F39" s="789" t="s">
        <v>5</v>
      </c>
    </row>
    <row r="40" spans="1:9" s="130" customFormat="1" ht="13" x14ac:dyDescent="0.25">
      <c r="B40" s="150"/>
      <c r="C40" s="180"/>
      <c r="D40" s="131"/>
      <c r="E40" s="132"/>
      <c r="F40" s="48"/>
      <c r="G40" s="176"/>
      <c r="H40" s="48"/>
      <c r="I40" s="48"/>
    </row>
    <row r="41" spans="1:9" ht="48" customHeight="1" x14ac:dyDescent="0.25">
      <c r="A41" s="48">
        <f>A32+1</f>
        <v>4</v>
      </c>
      <c r="B41" s="127" t="str">
        <f>+T3A!B41</f>
        <v>Afbouw regulatoir saldo inzake herindexering van het budget voor endogene kosten, zoals vastgelegd in de tariefmethodologie (positieve waarde voor recuperatie tekort, en omgekeerd)</v>
      </c>
      <c r="C41" s="7" t="str">
        <f>+T3A!C41</f>
        <v>TABEL 6B</v>
      </c>
      <c r="D41" s="667"/>
      <c r="E41" s="128"/>
      <c r="F41" s="48"/>
    </row>
    <row r="42" spans="1:9" s="20" customFormat="1" ht="22.5" customHeight="1" x14ac:dyDescent="0.25">
      <c r="A42" s="48"/>
      <c r="B42" s="702" t="str">
        <f>+T3A!B42</f>
        <v>M.b.t. het basistarief voor het gebruik van het net</v>
      </c>
      <c r="C42" s="835"/>
      <c r="D42" s="780">
        <f>+T3A!D42</f>
        <v>0</v>
      </c>
      <c r="E42" s="780">
        <f>+D42</f>
        <v>0</v>
      </c>
      <c r="F42" s="789" t="s">
        <v>5</v>
      </c>
      <c r="G42" s="176"/>
    </row>
    <row r="43" spans="1:9" s="20" customFormat="1" ht="23.25" customHeight="1" x14ac:dyDescent="0.25">
      <c r="A43" s="48"/>
      <c r="B43" s="702" t="str">
        <f>+T3A!B43</f>
        <v>M.b.t. het tarief voor het systeembeheer</v>
      </c>
      <c r="C43" s="743"/>
      <c r="D43" s="780">
        <f>+T3A!D43</f>
        <v>0</v>
      </c>
      <c r="E43" s="780">
        <f t="shared" ref="E43:E49" si="2">+D43</f>
        <v>0</v>
      </c>
      <c r="F43" s="789" t="s">
        <v>5</v>
      </c>
      <c r="G43" s="176"/>
    </row>
    <row r="44" spans="1:9" s="20" customFormat="1" ht="19.5" customHeight="1" x14ac:dyDescent="0.25">
      <c r="A44" s="48"/>
      <c r="B44" s="702" t="str">
        <f>+T3A!B44</f>
        <v>M.b.t. het tarief voor de meet-en telactiviteit</v>
      </c>
      <c r="C44" s="743"/>
      <c r="D44" s="780">
        <f>+T3A!D44</f>
        <v>0</v>
      </c>
      <c r="E44" s="780">
        <f t="shared" si="2"/>
        <v>0</v>
      </c>
      <c r="F44" s="789" t="s">
        <v>5</v>
      </c>
      <c r="G44" s="176"/>
    </row>
    <row r="45" spans="1:9" s="20" customFormat="1" ht="19.5" customHeight="1" x14ac:dyDescent="0.25">
      <c r="A45" s="48"/>
      <c r="B45" s="702" t="str">
        <f>+T3A!B45</f>
        <v>M.b.t. het tarief voor openbare dienstverplichtingen</v>
      </c>
      <c r="C45" s="743"/>
      <c r="D45" s="780">
        <f>+T3A!D45</f>
        <v>0</v>
      </c>
      <c r="E45" s="780">
        <f t="shared" si="2"/>
        <v>0</v>
      </c>
      <c r="F45" s="789" t="s">
        <v>5</v>
      </c>
      <c r="G45" s="176"/>
    </row>
    <row r="46" spans="1:9" s="20" customFormat="1" ht="31.5" customHeight="1" x14ac:dyDescent="0.25">
      <c r="A46" s="48"/>
      <c r="B46" s="702" t="str">
        <f>+T3A!B46</f>
        <v>M.b.t. het tarief voor de regeling van de spanning en het reactief vermogen</v>
      </c>
      <c r="C46" s="743"/>
      <c r="D46" s="780">
        <f>+T3A!D46</f>
        <v>0</v>
      </c>
      <c r="E46" s="780">
        <f t="shared" si="2"/>
        <v>0</v>
      </c>
      <c r="F46" s="789" t="s">
        <v>5</v>
      </c>
      <c r="G46" s="176"/>
    </row>
    <row r="47" spans="1:9" s="20" customFormat="1" ht="21" customHeight="1" x14ac:dyDescent="0.25">
      <c r="A47" s="48"/>
      <c r="B47" s="702" t="str">
        <f>+T3A!B47</f>
        <v>M.b.t. het tarief voor de compensatie van de netverliezen</v>
      </c>
      <c r="C47" s="743"/>
      <c r="D47" s="780">
        <f>+T3A!D47</f>
        <v>0</v>
      </c>
      <c r="E47" s="780">
        <f t="shared" si="2"/>
        <v>0</v>
      </c>
      <c r="F47" s="789" t="s">
        <v>5</v>
      </c>
      <c r="G47" s="176"/>
    </row>
    <row r="48" spans="1:9" s="20" customFormat="1" ht="25.5" customHeight="1" x14ac:dyDescent="0.25">
      <c r="A48" s="48"/>
      <c r="B48" s="702" t="str">
        <f>+T3A!B48</f>
        <v>M.b.t. het tarief voor de supplementaire en complementaire diensten</v>
      </c>
      <c r="C48" s="743"/>
      <c r="D48" s="780">
        <f>+T3A!D48</f>
        <v>0</v>
      </c>
      <c r="E48" s="780">
        <f t="shared" si="2"/>
        <v>0</v>
      </c>
      <c r="F48" s="789" t="s">
        <v>5</v>
      </c>
      <c r="G48" s="176"/>
    </row>
    <row r="49" spans="1:9" s="20" customFormat="1" ht="30" customHeight="1" x14ac:dyDescent="0.25">
      <c r="A49" s="48"/>
      <c r="B49" s="702" t="str">
        <f>+T3A!B49</f>
        <v>M.b.t. het tarief voor belastingen, heffingen, toeslagen, bijdragen en retributies</v>
      </c>
      <c r="C49" s="743"/>
      <c r="D49" s="780">
        <f>+T3A!D49</f>
        <v>0</v>
      </c>
      <c r="E49" s="780">
        <f t="shared" si="2"/>
        <v>0</v>
      </c>
      <c r="F49" s="789" t="s">
        <v>5</v>
      </c>
      <c r="G49" s="176"/>
    </row>
    <row r="50" spans="1:9" s="130" customFormat="1" ht="13" x14ac:dyDescent="0.25">
      <c r="B50" s="150"/>
      <c r="C50" s="180"/>
      <c r="D50" s="713"/>
      <c r="E50" s="132"/>
      <c r="F50" s="48"/>
      <c r="G50" s="176"/>
      <c r="H50" s="48"/>
      <c r="I50" s="48"/>
    </row>
    <row r="51" spans="1:9" ht="48" customHeight="1" x14ac:dyDescent="0.25">
      <c r="A51" s="48">
        <f>+A41+1</f>
        <v>5</v>
      </c>
      <c r="B51" s="127" t="str">
        <f>+T3A!B51</f>
        <v>Afbouw regulatoir saldo inzake vennootschapsbelasting, zoals vastgelegd in de tariefmethodologie (positieve waarde voor recuperatie tekort, en omgekeerd)</v>
      </c>
      <c r="C51" s="7" t="str">
        <f>+T3A!C51</f>
        <v>TABEL 7</v>
      </c>
      <c r="D51" s="683"/>
      <c r="E51" s="128"/>
      <c r="F51" s="48"/>
    </row>
    <row r="52" spans="1:9" s="20" customFormat="1" ht="22.5" customHeight="1" x14ac:dyDescent="0.25">
      <c r="A52" s="48"/>
      <c r="B52" s="702" t="str">
        <f>+T3A!B52</f>
        <v>M.b.t. het basistarief voor het gebruik van het net</v>
      </c>
      <c r="C52" s="835"/>
      <c r="D52" s="780">
        <f>+T3A!D52</f>
        <v>0</v>
      </c>
      <c r="E52" s="780">
        <f>+D52</f>
        <v>0</v>
      </c>
      <c r="F52" s="128" t="s">
        <v>5</v>
      </c>
      <c r="G52" s="176"/>
    </row>
    <row r="53" spans="1:9" s="130" customFormat="1" ht="13" x14ac:dyDescent="0.25">
      <c r="B53" s="707"/>
      <c r="C53" s="180"/>
      <c r="D53" s="713"/>
      <c r="E53" s="713"/>
      <c r="F53" s="148"/>
      <c r="G53" s="176"/>
    </row>
    <row r="54" spans="1:9" ht="48" customHeight="1" x14ac:dyDescent="0.25">
      <c r="A54" s="48">
        <f>+A51+1</f>
        <v>6</v>
      </c>
      <c r="B54" s="127" t="str">
        <f>+T3A!B54</f>
        <v>Afbouw van regulatoir actief/passief geboekt onder voorgaande tariefmethodologieën, zoals vastgelegd in de VREG tariefmethodologie (positieve waarde voor recuperatie tekort, en omgekeerd)</v>
      </c>
      <c r="C54" s="7" t="str">
        <f>+T3A!C54</f>
        <v>TABEL 8</v>
      </c>
      <c r="D54" s="683"/>
      <c r="E54" s="683"/>
      <c r="F54" s="144"/>
    </row>
    <row r="55" spans="1:9" s="20" customFormat="1" ht="21.75" customHeight="1" x14ac:dyDescent="0.25">
      <c r="A55" s="48"/>
      <c r="B55" s="702" t="str">
        <f>+T3A!B55</f>
        <v>M.b.t. het basistarief voor het gebruik van het net</v>
      </c>
      <c r="C55" s="834"/>
      <c r="D55" s="780">
        <f>+T3A!D55</f>
        <v>0</v>
      </c>
      <c r="E55" s="780">
        <f>+D55</f>
        <v>0</v>
      </c>
      <c r="F55" s="789" t="s">
        <v>5</v>
      </c>
      <c r="G55" s="610"/>
    </row>
    <row r="56" spans="1:9" s="20" customFormat="1" ht="18.75" customHeight="1" x14ac:dyDescent="0.25">
      <c r="A56" s="48"/>
      <c r="B56" s="702" t="str">
        <f>+T3A!B56</f>
        <v>M.b.t. het tarief voor het systeembeheer</v>
      </c>
      <c r="C56" s="748"/>
      <c r="D56" s="780">
        <f>+T3A!D56</f>
        <v>0</v>
      </c>
      <c r="E56" s="780">
        <f t="shared" ref="E56:E64" si="3">+D56</f>
        <v>0</v>
      </c>
      <c r="F56" s="789" t="s">
        <v>5</v>
      </c>
      <c r="G56" s="610"/>
    </row>
    <row r="57" spans="1:9" s="20" customFormat="1" ht="19.5" customHeight="1" x14ac:dyDescent="0.25">
      <c r="A57" s="48"/>
      <c r="B57" s="702" t="str">
        <f>+T3A!B57</f>
        <v>M.b.t. het tarief voor de meet-en telactiviteit</v>
      </c>
      <c r="C57" s="748"/>
      <c r="D57" s="780">
        <f>+T3A!D57</f>
        <v>0</v>
      </c>
      <c r="E57" s="780">
        <f t="shared" si="3"/>
        <v>0</v>
      </c>
      <c r="F57" s="789" t="s">
        <v>5</v>
      </c>
      <c r="G57" s="610"/>
    </row>
    <row r="58" spans="1:9" s="20" customFormat="1" ht="15.75" customHeight="1" x14ac:dyDescent="0.25">
      <c r="A58" s="48"/>
      <c r="B58" s="702" t="str">
        <f>+T3A!B58</f>
        <v>M.b.t. het tarief voor openbare dienstverplichtingen</v>
      </c>
      <c r="C58" s="748"/>
      <c r="D58" s="780">
        <f>+T3A!D58</f>
        <v>0</v>
      </c>
      <c r="E58" s="780">
        <f t="shared" si="3"/>
        <v>0</v>
      </c>
      <c r="F58" s="789" t="s">
        <v>5</v>
      </c>
      <c r="G58" s="610"/>
    </row>
    <row r="59" spans="1:9" s="20" customFormat="1" ht="31.5" customHeight="1" x14ac:dyDescent="0.25">
      <c r="A59" s="48"/>
      <c r="B59" s="702" t="str">
        <f>+T3A!B59</f>
        <v>M.b.t. het tarief in verband met het gebruik van het transmissienet (excl federale bijdrage elektriciteit)</v>
      </c>
      <c r="C59" s="748"/>
      <c r="D59" s="780">
        <f>+T3A!D59</f>
        <v>0</v>
      </c>
      <c r="E59" s="780">
        <f t="shared" si="3"/>
        <v>0</v>
      </c>
      <c r="F59" s="789" t="s">
        <v>5</v>
      </c>
      <c r="G59" s="610"/>
    </row>
    <row r="60" spans="1:9" s="20" customFormat="1" ht="30.75" customHeight="1" x14ac:dyDescent="0.25">
      <c r="A60" s="48"/>
      <c r="B60" s="702" t="str">
        <f>+T3A!B60</f>
        <v>M.b.t. het tarief voor de regeling van de spanning en het reactief vermogen</v>
      </c>
      <c r="C60" s="748"/>
      <c r="D60" s="780">
        <f>+T3A!D60</f>
        <v>0</v>
      </c>
      <c r="E60" s="780">
        <f t="shared" si="3"/>
        <v>0</v>
      </c>
      <c r="F60" s="789" t="s">
        <v>5</v>
      </c>
      <c r="G60" s="610"/>
    </row>
    <row r="61" spans="1:9" s="20" customFormat="1" ht="22.5" customHeight="1" x14ac:dyDescent="0.25">
      <c r="A61" s="48"/>
      <c r="B61" s="702" t="str">
        <f>+T3A!B61</f>
        <v>M.b.t. het tarief voor de compensatie van de netverliezen</v>
      </c>
      <c r="C61" s="748"/>
      <c r="D61" s="780">
        <f>+T3A!D61</f>
        <v>0</v>
      </c>
      <c r="E61" s="780">
        <f t="shared" si="3"/>
        <v>0</v>
      </c>
      <c r="F61" s="789" t="s">
        <v>5</v>
      </c>
      <c r="G61" s="610"/>
    </row>
    <row r="62" spans="1:9" s="20" customFormat="1" ht="24.75" customHeight="1" x14ac:dyDescent="0.25">
      <c r="A62" s="48"/>
      <c r="B62" s="702" t="str">
        <f>+T3A!B62</f>
        <v>M.b.t. het tarief voor de supplementaire en complementaire diensten</v>
      </c>
      <c r="C62" s="748"/>
      <c r="D62" s="780">
        <f>+T3A!D62</f>
        <v>0</v>
      </c>
      <c r="E62" s="780">
        <f t="shared" si="3"/>
        <v>0</v>
      </c>
      <c r="F62" s="789" t="s">
        <v>5</v>
      </c>
      <c r="G62" s="610"/>
    </row>
    <row r="63" spans="1:9" s="20" customFormat="1" ht="33" customHeight="1" x14ac:dyDescent="0.25">
      <c r="A63" s="48"/>
      <c r="B63" s="702" t="str">
        <f>+T3A!B63</f>
        <v>M.b.t. het tarief voor belastingen, heffingen, toeslagen, bijdragen en retributies</v>
      </c>
      <c r="C63" s="748"/>
      <c r="D63" s="780">
        <f>+T3A!D63</f>
        <v>0</v>
      </c>
      <c r="E63" s="780">
        <f t="shared" si="3"/>
        <v>0</v>
      </c>
      <c r="F63" s="789" t="s">
        <v>5</v>
      </c>
      <c r="G63" s="610"/>
    </row>
    <row r="64" spans="1:9" s="20" customFormat="1" ht="16.5" customHeight="1" x14ac:dyDescent="0.25">
      <c r="A64" s="48"/>
      <c r="B64" s="702" t="str">
        <f>+T3A!B64</f>
        <v>M.b.t. de niet-periodieke tarieven</v>
      </c>
      <c r="C64" s="748"/>
      <c r="D64" s="780">
        <f>+T3A!D64</f>
        <v>0</v>
      </c>
      <c r="E64" s="780">
        <f t="shared" si="3"/>
        <v>0</v>
      </c>
      <c r="F64" s="789" t="s">
        <v>5</v>
      </c>
      <c r="G64" s="610"/>
    </row>
    <row r="65" spans="1:7" ht="13" x14ac:dyDescent="0.25">
      <c r="B65" s="136"/>
      <c r="C65" s="182"/>
      <c r="D65" s="715"/>
      <c r="E65" s="715"/>
      <c r="F65" s="129"/>
    </row>
    <row r="66" spans="1:7" ht="33" customHeight="1" x14ac:dyDescent="0.25">
      <c r="A66" s="48">
        <f>A54+1</f>
        <v>7</v>
      </c>
      <c r="B66" s="133" t="str">
        <f>+T3A!B66</f>
        <v>Kosten van de openbaredienstverplichtingen m.b.t. het stimuleren van rationeel energiegebruik (REG):</v>
      </c>
      <c r="C66" s="139"/>
      <c r="D66" s="683">
        <f>+T3A!D66</f>
        <v>0</v>
      </c>
      <c r="E66" s="683">
        <f>SUM(E67:E69)</f>
        <v>0</v>
      </c>
      <c r="F66" s="128" t="s">
        <v>5</v>
      </c>
    </row>
    <row r="67" spans="1:7" ht="28.5" customHeight="1" x14ac:dyDescent="0.25">
      <c r="B67" s="432" t="str">
        <f>+T3A!B67</f>
        <v>Kosten m.b.t. REG-premies (volgens het Energiebesluit artikels 6.4.1/1 t.e.m. 6.4.1/5)</v>
      </c>
      <c r="C67" s="139">
        <f>+T3A!C67</f>
        <v>0</v>
      </c>
      <c r="D67" s="181">
        <f>+T3A!D67</f>
        <v>0</v>
      </c>
      <c r="E67" s="744">
        <v>0</v>
      </c>
      <c r="F67" s="128"/>
    </row>
    <row r="68" spans="1:7" ht="31.5" customHeight="1" x14ac:dyDescent="0.25">
      <c r="B68" s="432" t="str">
        <f>+T3A!B68</f>
        <v>Kosten m.b.t. de actieverplichting energiescans (volgens het Energiebesluit artikel 6.4.1/8)</v>
      </c>
      <c r="C68" s="139">
        <f>+T3A!C68</f>
        <v>0</v>
      </c>
      <c r="D68" s="181">
        <f>+T3A!D68</f>
        <v>0</v>
      </c>
      <c r="E68" s="744">
        <v>0</v>
      </c>
      <c r="F68" s="128"/>
    </row>
    <row r="69" spans="1:7" ht="31.5" customHeight="1" x14ac:dyDescent="0.25">
      <c r="B69" s="432" t="str">
        <f>+T3A!B69</f>
        <v>Kosten m.b.t. de actieverplichting sociale dakisolatieprojecten (volgens het Energiebesluit artikel 6.4.1/9)</v>
      </c>
      <c r="C69" s="139">
        <f>+T3A!C69</f>
        <v>0</v>
      </c>
      <c r="D69" s="181">
        <f>+T3A!D69</f>
        <v>0</v>
      </c>
      <c r="E69" s="744">
        <v>0</v>
      </c>
      <c r="F69" s="128"/>
    </row>
    <row r="70" spans="1:7" ht="30" customHeight="1" x14ac:dyDescent="0.25">
      <c r="B70" s="133" t="str">
        <f>+T3A!B70</f>
        <v>Recuperatie van kosten van de openbaredienstverplichtingen m.b.t. het stimuleren van rationeel energiegebruik (REG):</v>
      </c>
      <c r="C70" s="139"/>
      <c r="D70" s="683">
        <f>+T3A!D70</f>
        <v>0</v>
      </c>
      <c r="E70" s="683">
        <f>SUM(E71:E73)</f>
        <v>0</v>
      </c>
      <c r="F70" s="745" t="s">
        <v>9</v>
      </c>
    </row>
    <row r="71" spans="1:7" ht="31.5" customHeight="1" x14ac:dyDescent="0.25">
      <c r="B71" s="432" t="str">
        <f>+T3A!B71</f>
        <v>Recuperatie van kosten m.b.t. REG-premies (volgens het Energiebesluit artikel 6.4.1/12 §2)</v>
      </c>
      <c r="C71" s="139">
        <f>+T3A!C71</f>
        <v>0</v>
      </c>
      <c r="D71" s="181">
        <f>+T3A!D71</f>
        <v>0</v>
      </c>
      <c r="E71" s="744">
        <v>0</v>
      </c>
      <c r="F71" s="128"/>
    </row>
    <row r="72" spans="1:7" ht="34.5" customHeight="1" x14ac:dyDescent="0.25">
      <c r="B72" s="432" t="str">
        <f>+T3A!B72</f>
        <v>Recuperatie van kosten m.b.t. de actieverplichting energiescans (volgens het Energiebesluit artikel 6.4.1/12 §3)</v>
      </c>
      <c r="C72" s="139">
        <f>+T3A!C72</f>
        <v>0</v>
      </c>
      <c r="D72" s="181">
        <f>+T3A!D72</f>
        <v>0</v>
      </c>
      <c r="E72" s="744">
        <v>0</v>
      </c>
      <c r="F72" s="128"/>
    </row>
    <row r="73" spans="1:7" ht="36.75" customHeight="1" x14ac:dyDescent="0.25">
      <c r="B73" s="432" t="str">
        <f>+T3A!B73</f>
        <v>Recuperatie van kosten m.b.t. de actieverplichting sociale dakisolatieprojecten (volgens het Energiebesluit artikel 6.4.1/12 §4)</v>
      </c>
      <c r="C73" s="139">
        <f>+T3A!C73</f>
        <v>0</v>
      </c>
      <c r="D73" s="181">
        <f>+T3A!D73</f>
        <v>0</v>
      </c>
      <c r="E73" s="744">
        <v>0</v>
      </c>
      <c r="F73" s="128"/>
    </row>
    <row r="74" spans="1:7" s="130" customFormat="1" ht="13" x14ac:dyDescent="0.25">
      <c r="B74" s="706"/>
      <c r="C74" s="141"/>
      <c r="D74" s="717"/>
      <c r="E74" s="717"/>
      <c r="F74" s="129"/>
      <c r="G74" s="714"/>
    </row>
    <row r="75" spans="1:7" ht="25" x14ac:dyDescent="0.25">
      <c r="A75" s="48">
        <f>A66+1</f>
        <v>8</v>
      </c>
      <c r="B75" s="133" t="str">
        <f>+T3A!B75</f>
        <v>Verplicht aangekochte groenestroom- en warmtekrachtcertificaten (GSC en WKC) aan minimumwaarde volgens Energiedecreet</v>
      </c>
      <c r="C75" s="139"/>
      <c r="D75" s="683"/>
      <c r="E75" s="718"/>
      <c r="F75" s="144"/>
    </row>
    <row r="76" spans="1:7" ht="20.25" customHeight="1" x14ac:dyDescent="0.25">
      <c r="B76" s="432" t="str">
        <f>+T3A!B76</f>
        <v>Aangekochte GSC</v>
      </c>
      <c r="C76" s="139">
        <f>T3A!C76</f>
        <v>0</v>
      </c>
      <c r="D76" s="181">
        <f>T3A!D76</f>
        <v>0</v>
      </c>
      <c r="E76" s="779">
        <v>0</v>
      </c>
      <c r="F76" s="128" t="s">
        <v>5</v>
      </c>
    </row>
    <row r="77" spans="1:7" ht="21.75" customHeight="1" x14ac:dyDescent="0.25">
      <c r="B77" s="432" t="str">
        <f>+T3A!B77</f>
        <v>Aangekochte WKC</v>
      </c>
      <c r="C77" s="139">
        <f>T3A!C77</f>
        <v>0</v>
      </c>
      <c r="D77" s="181">
        <f>T3A!D77</f>
        <v>0</v>
      </c>
      <c r="E77" s="779">
        <v>0</v>
      </c>
      <c r="F77" s="128" t="s">
        <v>5</v>
      </c>
    </row>
    <row r="78" spans="1:7" ht="13" x14ac:dyDescent="0.25">
      <c r="B78" s="145"/>
      <c r="C78" s="146"/>
      <c r="D78" s="719"/>
      <c r="E78" s="719"/>
      <c r="F78" s="148"/>
    </row>
    <row r="79" spans="1:7" s="20" customFormat="1" ht="13" x14ac:dyDescent="0.25">
      <c r="A79" s="48">
        <f>A75+1</f>
        <v>9</v>
      </c>
      <c r="B79" s="133" t="str">
        <f>+T3A!B79</f>
        <v xml:space="preserve">Verkochte GSC en WKC </v>
      </c>
      <c r="C79" s="139"/>
      <c r="D79" s="683"/>
      <c r="E79" s="718"/>
      <c r="F79" s="144"/>
      <c r="G79" s="176"/>
    </row>
    <row r="80" spans="1:7" s="20" customFormat="1" ht="20.25" customHeight="1" x14ac:dyDescent="0.25">
      <c r="A80" s="48"/>
      <c r="B80" s="432" t="str">
        <f>+T3A!B80</f>
        <v>Verkochte GSC</v>
      </c>
      <c r="C80" s="139">
        <f>T3A!C80</f>
        <v>0</v>
      </c>
      <c r="D80" s="181">
        <f>T3A!D80</f>
        <v>0</v>
      </c>
      <c r="E80" s="779">
        <v>0</v>
      </c>
      <c r="F80" s="128" t="s">
        <v>9</v>
      </c>
      <c r="G80" s="176"/>
    </row>
    <row r="81" spans="1:8" s="20" customFormat="1" ht="20.25" customHeight="1" x14ac:dyDescent="0.25">
      <c r="A81" s="48"/>
      <c r="B81" s="432" t="str">
        <f>+T3A!B81</f>
        <v>Verkochte WKC</v>
      </c>
      <c r="C81" s="139">
        <f>T3A!C81</f>
        <v>0</v>
      </c>
      <c r="D81" s="181">
        <f>T3A!D81</f>
        <v>0</v>
      </c>
      <c r="E81" s="779">
        <v>0</v>
      </c>
      <c r="F81" s="128" t="s">
        <v>9</v>
      </c>
      <c r="G81" s="176"/>
    </row>
    <row r="82" spans="1:8" s="20" customFormat="1" ht="13" x14ac:dyDescent="0.25">
      <c r="A82" s="48"/>
      <c r="B82" s="145"/>
      <c r="C82" s="146"/>
      <c r="D82" s="719"/>
      <c r="E82" s="719"/>
      <c r="F82" s="132"/>
      <c r="G82" s="176"/>
    </row>
    <row r="83" spans="1:8" ht="33" customHeight="1" x14ac:dyDescent="0.25">
      <c r="A83" s="48">
        <f>A79+1</f>
        <v>10</v>
      </c>
      <c r="B83" s="133" t="str">
        <f>+T3A!B83</f>
        <v>Voorraadwijziging groenestroomcertificaten (toename voorraad: negatieve waarde, afname voorraad: positieve waarde)</v>
      </c>
      <c r="C83" s="157">
        <f>T3A!C83</f>
        <v>0</v>
      </c>
      <c r="D83" s="683">
        <f>T3A!D83</f>
        <v>0</v>
      </c>
      <c r="E83" s="716">
        <v>0</v>
      </c>
      <c r="F83" s="128" t="s">
        <v>5</v>
      </c>
    </row>
    <row r="84" spans="1:8" ht="13" x14ac:dyDescent="0.25">
      <c r="B84" s="707"/>
      <c r="C84" s="151"/>
      <c r="D84" s="719"/>
      <c r="E84" s="719"/>
      <c r="F84" s="132"/>
    </row>
    <row r="85" spans="1:8" ht="31.5" customHeight="1" x14ac:dyDescent="0.25">
      <c r="A85" s="48">
        <f>A83+1</f>
        <v>11</v>
      </c>
      <c r="B85" s="133" t="str">
        <f>+T3A!B85</f>
        <v>Voorraadwijziging warmtekrachtcertificaten (toename voorraad: negatieve waarde, afname voorraad: positieve waarde)</v>
      </c>
      <c r="C85" s="157">
        <f>T3A!C85</f>
        <v>0</v>
      </c>
      <c r="D85" s="683">
        <f>T3A!D85</f>
        <v>0</v>
      </c>
      <c r="E85" s="716">
        <v>0</v>
      </c>
      <c r="F85" s="128" t="s">
        <v>5</v>
      </c>
      <c r="H85" s="109"/>
    </row>
    <row r="86" spans="1:8" ht="13" x14ac:dyDescent="0.25">
      <c r="A86" s="130"/>
      <c r="B86" s="136"/>
      <c r="C86" s="129"/>
      <c r="D86" s="715"/>
      <c r="E86" s="715"/>
      <c r="F86" s="129"/>
    </row>
    <row r="87" spans="1:8" ht="60.75" customHeight="1" x14ac:dyDescent="0.25">
      <c r="A87" s="48">
        <f>A85+1</f>
        <v>12</v>
      </c>
      <c r="B87" s="133" t="str">
        <f>+T3A!B87</f>
        <v>Netto-uitgaven/ -inkomsten (positieve waarde voor een netto-uitgave, en omgekeerd) i.h.k.v. de verrekening van de kost van groenestroom- en warmtekrachtcertificaten onder distributienetbeheerders volgens Energiedecreet (solidarisering opkoopverplichting)</v>
      </c>
      <c r="C87" s="157">
        <f>T3A!C87</f>
        <v>0</v>
      </c>
      <c r="D87" s="683">
        <f>T3A!D87</f>
        <v>0</v>
      </c>
      <c r="E87" s="716">
        <v>0</v>
      </c>
      <c r="F87" s="128" t="s">
        <v>5</v>
      </c>
      <c r="H87" s="109"/>
    </row>
    <row r="88" spans="1:8" ht="13" x14ac:dyDescent="0.25">
      <c r="B88" s="136"/>
      <c r="C88" s="154"/>
      <c r="D88" s="715"/>
      <c r="E88" s="715"/>
      <c r="F88" s="129"/>
    </row>
    <row r="89" spans="1:8" s="20" customFormat="1" ht="70.5" customHeight="1" x14ac:dyDescent="0.25">
      <c r="A89" s="48">
        <f>A87+1</f>
        <v>13</v>
      </c>
      <c r="B89" s="155" t="str">
        <f>+T3A!B89</f>
        <v>Inkomsten verkregen van Vlaamse Overheid (VEA) m.b.t. op de markt verkochte geïmmobiliseerde certificaten (cfr Energiebesluit artikel 6.4.14/2 §3) (niet inkomsten verkregen van Vlaamse Overheid (VEA) m.b.t. werkelijke externe financieringskosten zoals beschreven in Energiebesluit artikel 6.4.14/2 §2)</v>
      </c>
      <c r="C89" s="157">
        <f>T3A!C89</f>
        <v>0</v>
      </c>
      <c r="D89" s="683">
        <f>T3A!D89</f>
        <v>0</v>
      </c>
      <c r="E89" s="716">
        <v>0</v>
      </c>
      <c r="F89" s="128" t="s">
        <v>9</v>
      </c>
      <c r="G89" s="610"/>
    </row>
    <row r="90" spans="1:8" ht="13" x14ac:dyDescent="0.25">
      <c r="A90" s="130"/>
      <c r="B90" s="136"/>
      <c r="C90" s="153"/>
      <c r="D90" s="715"/>
      <c r="E90" s="715"/>
      <c r="F90" s="129"/>
    </row>
    <row r="91" spans="1:8" ht="28.5" customHeight="1" x14ac:dyDescent="0.25">
      <c r="A91" s="48">
        <f>A89+1</f>
        <v>14</v>
      </c>
      <c r="B91" s="155" t="str">
        <f>+T3A!B91</f>
        <v>Afrekeningskosten van de gratis kWh, zoals was vermeld in het Energiedecreet</v>
      </c>
      <c r="C91" s="455">
        <f>+T3A!C91</f>
        <v>0</v>
      </c>
      <c r="D91" s="683">
        <f>T3A!D91</f>
        <v>0</v>
      </c>
      <c r="E91" s="716">
        <v>0</v>
      </c>
      <c r="F91" s="128" t="s">
        <v>5</v>
      </c>
    </row>
    <row r="92" spans="1:8" s="20" customFormat="1" ht="13" x14ac:dyDescent="0.25">
      <c r="A92" s="48"/>
      <c r="B92" s="136"/>
      <c r="C92" s="156"/>
      <c r="D92" s="715"/>
      <c r="E92" s="715"/>
      <c r="F92" s="129"/>
      <c r="G92" s="610"/>
    </row>
    <row r="93" spans="1:8" s="20" customFormat="1" ht="41.25" customHeight="1" x14ac:dyDescent="0.25">
      <c r="A93" s="48">
        <f>A91+1</f>
        <v>15</v>
      </c>
      <c r="B93" s="127" t="str">
        <f>+T3A!B93</f>
        <v>Kost m.b.t. de door Elia aan de distributienetbeheerder aangerekende vergoeding voor het gebruik van het transmissienet (elektriciteit) - exclusief federale bijdrage elektriciteit</v>
      </c>
      <c r="C93" s="157">
        <f>+T3A!C93</f>
        <v>0</v>
      </c>
      <c r="D93" s="683">
        <f>+T3A!D93</f>
        <v>0</v>
      </c>
      <c r="E93" s="716">
        <v>0</v>
      </c>
      <c r="F93" s="128" t="s">
        <v>5</v>
      </c>
      <c r="G93" s="610"/>
    </row>
    <row r="94" spans="1:8" s="20" customFormat="1" ht="40.5" customHeight="1" x14ac:dyDescent="0.25">
      <c r="A94" s="48">
        <f>+A93+1</f>
        <v>16</v>
      </c>
      <c r="B94" s="127" t="str">
        <f>+T3A!B94</f>
        <v>Kost m.b.t. de door een andere distributienetbeheerder (via doorvoer) aangerekende vergoeding voor het gebruik van het transmissienet (elektriciteit) - exclusief federale bijdrage elektriciteit</v>
      </c>
      <c r="C94" s="157">
        <f>+T3A!C94</f>
        <v>0</v>
      </c>
      <c r="D94" s="683">
        <f>+T3A!D94</f>
        <v>0</v>
      </c>
      <c r="E94" s="716">
        <v>0</v>
      </c>
      <c r="F94" s="128" t="s">
        <v>5</v>
      </c>
      <c r="G94" s="610"/>
    </row>
    <row r="95" spans="1:8" s="20" customFormat="1" ht="38.25" customHeight="1" x14ac:dyDescent="0.25">
      <c r="A95" s="48">
        <f>+A94+1</f>
        <v>17</v>
      </c>
      <c r="B95" s="127" t="str">
        <f>+T3A!B95</f>
        <v>Opbrengst uit de aan een andere distributienetbeheer (via doorvoer) aangerekende vergoeding voor het gebruik van het transmissienet (elektriciteit) - exclusief federale bijdrage elektriciteit</v>
      </c>
      <c r="C95" s="157">
        <f>+T3A!C95</f>
        <v>0</v>
      </c>
      <c r="D95" s="683">
        <f>+T3A!D95</f>
        <v>0</v>
      </c>
      <c r="E95" s="868">
        <v>0</v>
      </c>
      <c r="F95" s="128" t="s">
        <v>9</v>
      </c>
      <c r="G95" s="610"/>
    </row>
    <row r="96" spans="1:8" ht="13" x14ac:dyDescent="0.25">
      <c r="B96" s="136"/>
      <c r="C96" s="154"/>
      <c r="D96" s="715"/>
      <c r="E96" s="715"/>
      <c r="F96" s="129"/>
    </row>
    <row r="97" spans="1:7" s="20" customFormat="1" ht="24.75" customHeight="1" x14ac:dyDescent="0.25">
      <c r="A97" s="48">
        <f>+A95+1</f>
        <v>18</v>
      </c>
      <c r="B97" s="127" t="str">
        <f>+T3A!B97</f>
        <v>Kapitaalkostvergoeding niet-geïmmobiliseerde GSC en WKC</v>
      </c>
      <c r="C97" s="158"/>
      <c r="D97" s="683">
        <f>+T3A!D97</f>
        <v>0</v>
      </c>
      <c r="E97" s="683">
        <f>E98*E101</f>
        <v>0</v>
      </c>
      <c r="F97" s="128" t="s">
        <v>5</v>
      </c>
      <c r="G97" s="610"/>
    </row>
    <row r="98" spans="1:7" s="20" customFormat="1" ht="45.75" customHeight="1" x14ac:dyDescent="0.25">
      <c r="B98" s="751" t="str">
        <f>+T3A!B98</f>
        <v>Gemiddelde voorraad niet-geïmmobiliseerde groenestroom- en warmtekrachtcertificaten (boekhoudkundige waarde) voor boekjaar 2019</v>
      </c>
      <c r="C98" s="159"/>
      <c r="D98" s="160">
        <f>+T3A!D98</f>
        <v>0</v>
      </c>
      <c r="E98" s="160">
        <f>AVERAGE(E99:E100)</f>
        <v>0</v>
      </c>
      <c r="F98" s="610"/>
      <c r="G98" s="610"/>
    </row>
    <row r="99" spans="1:7" s="20" customFormat="1" ht="31.5" customHeight="1" x14ac:dyDescent="0.25">
      <c r="B99" s="440" t="str">
        <f>+T3A!B99</f>
        <v>Beginvoorraad niet-geïmmobiliseerde groenestroom- en warmtekrachtcertificaten (01/01/2019)</v>
      </c>
      <c r="C99" s="157">
        <f>+T3A!C99</f>
        <v>0</v>
      </c>
      <c r="D99" s="160">
        <f>+T3A!D99</f>
        <v>0</v>
      </c>
      <c r="E99" s="471">
        <v>0</v>
      </c>
      <c r="F99" s="610"/>
      <c r="G99" s="610"/>
    </row>
    <row r="100" spans="1:7" s="20" customFormat="1" ht="30.75" customHeight="1" x14ac:dyDescent="0.25">
      <c r="B100" s="440" t="str">
        <f>+T3A!B100</f>
        <v>Eindvoorraad niet-geïmmobiliseerde groenestroom- en warmtekrachtcertificaten (31/12/2019)</v>
      </c>
      <c r="C100" s="157">
        <f>+T3A!C100</f>
        <v>0</v>
      </c>
      <c r="D100" s="160">
        <f>+T3A!D100</f>
        <v>0</v>
      </c>
      <c r="E100" s="471">
        <v>0</v>
      </c>
      <c r="F100" s="610"/>
      <c r="G100" s="610"/>
    </row>
    <row r="101" spans="1:7" s="20" customFormat="1" ht="29.25" customHeight="1" x14ac:dyDescent="0.25">
      <c r="B101" s="433" t="str">
        <f>+T3A!B101</f>
        <v>Kapitaalkostvergoeding voor boekjaar 2019 (in te vullen door de VREG)</v>
      </c>
      <c r="C101" s="162"/>
      <c r="D101" s="474">
        <f>+T3A!D101</f>
        <v>0</v>
      </c>
      <c r="E101" s="724">
        <v>0</v>
      </c>
      <c r="F101" s="610"/>
      <c r="G101" s="610"/>
    </row>
    <row r="102" spans="1:7" ht="13" x14ac:dyDescent="0.25">
      <c r="B102" s="136"/>
      <c r="C102" s="154"/>
      <c r="D102" s="720"/>
      <c r="E102" s="720"/>
      <c r="F102" s="129"/>
    </row>
    <row r="103" spans="1:7" s="20" customFormat="1" ht="54" customHeight="1" x14ac:dyDescent="0.25">
      <c r="A103" s="48">
        <f>A97+1</f>
        <v>19</v>
      </c>
      <c r="B103" s="127" t="str">
        <f>T3A!B103</f>
        <v>Saldo kapitaalkostvergoeding geïmmobiliseerde GSC en WKC indien financieringskostvergoeding door de Vlaamse Overheid werd geplafonneerd en lager is dan de vergoeding volgens de tariefmethodologie</v>
      </c>
      <c r="C103" s="7" t="str">
        <f>T3A!C103</f>
        <v>TABEL 9</v>
      </c>
      <c r="D103" s="683">
        <f>T3A!D103</f>
        <v>0</v>
      </c>
      <c r="E103" s="683">
        <f>'T9'!D25</f>
        <v>0</v>
      </c>
      <c r="F103" s="128" t="s">
        <v>5</v>
      </c>
      <c r="G103" s="610"/>
    </row>
    <row r="104" spans="1:7" ht="13" x14ac:dyDescent="0.25">
      <c r="B104" s="136"/>
      <c r="C104" s="154"/>
      <c r="D104" s="715"/>
      <c r="E104" s="715"/>
      <c r="F104" s="129"/>
    </row>
    <row r="105" spans="1:7" s="20" customFormat="1" ht="25" x14ac:dyDescent="0.25">
      <c r="A105" s="48">
        <f>A103+1</f>
        <v>20</v>
      </c>
      <c r="B105" s="127" t="str">
        <f>+T3A!B105</f>
        <v>Kapitaalkostvergoeding voor het regulatoir actief/passief geboekt onder voorgaande tariefmethodologieën</v>
      </c>
      <c r="C105" s="158"/>
      <c r="D105" s="683">
        <f>T3A!D105</f>
        <v>0</v>
      </c>
      <c r="E105" s="683">
        <f>E106*E109</f>
        <v>0</v>
      </c>
      <c r="F105" s="128" t="s">
        <v>5</v>
      </c>
      <c r="G105" s="610"/>
    </row>
    <row r="106" spans="1:7" s="20" customFormat="1" ht="31.5" customHeight="1" x14ac:dyDescent="0.25">
      <c r="B106" s="441" t="str">
        <f>+T3A!B106</f>
        <v>Gemiddelde waarde regulatoir actief/passief voor boekjaar 2019 (positieve waarde voor regulatoir actief, en omgekeerd)</v>
      </c>
      <c r="C106" s="159"/>
      <c r="D106" s="160">
        <f>T3A!D106</f>
        <v>0</v>
      </c>
      <c r="E106" s="160">
        <f>AVERAGE(E107:E108)</f>
        <v>0</v>
      </c>
      <c r="F106" s="610"/>
      <c r="G106" s="610"/>
    </row>
    <row r="107" spans="1:7" s="20" customFormat="1" ht="44.25" customHeight="1" x14ac:dyDescent="0.25">
      <c r="B107" s="749" t="str">
        <f>+T3A!B107</f>
        <v>Waarde regulatoir actief/passief bij het begin van het boekjaar (01/01/2019) (positieve waarde voor regulatoir actief, en omgekeerd)</v>
      </c>
      <c r="C107" s="7" t="str">
        <f>+T3A!C107</f>
        <v>TABEL 8</v>
      </c>
      <c r="D107" s="160">
        <f>T3A!D107</f>
        <v>0</v>
      </c>
      <c r="E107" s="471">
        <v>0</v>
      </c>
      <c r="F107" s="610"/>
      <c r="G107" s="610"/>
    </row>
    <row r="108" spans="1:7" s="20" customFormat="1" ht="46.5" customHeight="1" x14ac:dyDescent="0.25">
      <c r="B108" s="749" t="str">
        <f>+T3A!B108</f>
        <v>Waarde regulatoir actief/passief op het einde van het boekjaar (31/12/2019) (positieve waarde voor regulatoir actief, en omgekeerd)</v>
      </c>
      <c r="C108" s="7" t="str">
        <f>+T3A!C108</f>
        <v>TABEL 8</v>
      </c>
      <c r="D108" s="160">
        <f>T3A!D108</f>
        <v>0</v>
      </c>
      <c r="E108" s="471">
        <v>0</v>
      </c>
      <c r="F108" s="610"/>
      <c r="G108" s="610"/>
    </row>
    <row r="109" spans="1:7" s="20" customFormat="1" ht="26" x14ac:dyDescent="0.25">
      <c r="B109" s="441" t="str">
        <f>+T3A!B109</f>
        <v>Kapitaalkostvergoeding voor boekjaar 2019 (in te vullen door de VREG)</v>
      </c>
      <c r="C109" s="126"/>
      <c r="D109" s="474">
        <f>T3A!D109</f>
        <v>0</v>
      </c>
      <c r="E109" s="724">
        <v>0</v>
      </c>
      <c r="F109" s="610"/>
      <c r="G109" s="610"/>
    </row>
    <row r="110" spans="1:7" s="20" customFormat="1" ht="13" x14ac:dyDescent="0.25">
      <c r="A110" s="48"/>
      <c r="B110" s="136"/>
      <c r="C110" s="156"/>
      <c r="D110" s="720"/>
      <c r="E110" s="720"/>
      <c r="F110" s="129"/>
      <c r="G110" s="610"/>
    </row>
    <row r="111" spans="1:7" s="20" customFormat="1" ht="25" x14ac:dyDescent="0.25">
      <c r="A111" s="48">
        <f>+A105+1</f>
        <v>21</v>
      </c>
      <c r="B111" s="127" t="str">
        <f>+T3A!B111</f>
        <v>Kapitaalkostvergoeding voor het regulatoir saldo inzake exogene kosten m.b.t. distributie</v>
      </c>
      <c r="C111" s="832"/>
      <c r="D111" s="683">
        <f>T3A!D111</f>
        <v>0</v>
      </c>
      <c r="E111" s="683">
        <f>+E112*E113</f>
        <v>0</v>
      </c>
      <c r="F111" s="128" t="s">
        <v>5</v>
      </c>
      <c r="G111" s="610"/>
    </row>
    <row r="112" spans="1:7" s="20" customFormat="1" ht="42" customHeight="1" x14ac:dyDescent="0.25">
      <c r="B112" s="433" t="str">
        <f>+T3A!B112</f>
        <v>Gecumuleerd regulatoir saldo exogene kosten m.b.t. distributie bij het begin van het boekjaar (01/01/2019) (positieve waarde voor tekort, en omgekeerd)</v>
      </c>
      <c r="C112" s="7" t="str">
        <f>+T3A!C112</f>
        <v>TABEL 4A</v>
      </c>
      <c r="D112" s="160">
        <f>T3A!D112</f>
        <v>0</v>
      </c>
      <c r="E112" s="471">
        <v>0</v>
      </c>
      <c r="F112" s="610"/>
      <c r="G112" s="610"/>
    </row>
    <row r="113" spans="1:7" s="20" customFormat="1" ht="26" x14ac:dyDescent="0.25">
      <c r="B113" s="433" t="str">
        <f>+T3A!B113</f>
        <v>Kapitaalkostvergoeding voor boekjaar 2019 (in te vullen door de VREG)</v>
      </c>
      <c r="C113" s="126"/>
      <c r="D113" s="474">
        <f>T3A!D113</f>
        <v>0</v>
      </c>
      <c r="E113" s="724">
        <v>0</v>
      </c>
      <c r="F113" s="610"/>
      <c r="G113" s="610"/>
    </row>
    <row r="114" spans="1:7" s="20" customFormat="1" ht="28.5" customHeight="1" x14ac:dyDescent="0.25">
      <c r="A114" s="48"/>
      <c r="B114" s="127" t="str">
        <f>+T3A!B114</f>
        <v>Kapitaalkostvergoeding voor het regulatoir saldo inzake exogene kosten m.b.t. transmissie</v>
      </c>
      <c r="C114" s="826"/>
      <c r="D114" s="683">
        <f>T3A!D114</f>
        <v>0</v>
      </c>
      <c r="E114" s="683">
        <f>+E115*E116</f>
        <v>0</v>
      </c>
      <c r="F114" s="128" t="s">
        <v>5</v>
      </c>
      <c r="G114" s="610"/>
    </row>
    <row r="115" spans="1:7" s="20" customFormat="1" ht="44.25" customHeight="1" x14ac:dyDescent="0.25">
      <c r="B115" s="433" t="str">
        <f>+T3A!B115</f>
        <v>Gecumuleerd regulatoir saldo exogene kosten m.b.t. transmissie bij het begin van het boekjaar (01/01/2019) (positieve waarde voor tekort, en omgekeerd)</v>
      </c>
      <c r="C115" s="7" t="str">
        <f>+T3A!C115</f>
        <v>TABEL 4C</v>
      </c>
      <c r="D115" s="160">
        <f>T3A!D115</f>
        <v>0</v>
      </c>
      <c r="E115" s="471">
        <v>0</v>
      </c>
      <c r="F115" s="610"/>
      <c r="G115" s="610"/>
    </row>
    <row r="116" spans="1:7" s="20" customFormat="1" ht="34.5" customHeight="1" x14ac:dyDescent="0.25">
      <c r="B116" s="433" t="str">
        <f>+T3A!B116</f>
        <v>Kapitaalkostvergoeding voor boekjaar 2019 (in te vullen door de VREG)</v>
      </c>
      <c r="C116" s="828"/>
      <c r="D116" s="474">
        <f>T3A!D116</f>
        <v>0</v>
      </c>
      <c r="E116" s="724">
        <v>0</v>
      </c>
      <c r="F116" s="610"/>
      <c r="G116" s="610"/>
    </row>
    <row r="117" spans="1:7" s="20" customFormat="1" ht="13" x14ac:dyDescent="0.25">
      <c r="A117" s="48"/>
      <c r="B117" s="136"/>
      <c r="C117" s="156"/>
      <c r="D117" s="720"/>
      <c r="E117" s="720"/>
      <c r="F117" s="129"/>
      <c r="G117" s="610"/>
    </row>
    <row r="118" spans="1:7" s="20" customFormat="1" ht="37.5" customHeight="1" x14ac:dyDescent="0.25">
      <c r="A118" s="48">
        <f>A111+1</f>
        <v>22</v>
      </c>
      <c r="B118" s="127" t="str">
        <f>+T3A!B118</f>
        <v>Kapitaalkostvergoeding voor het regulatoire saldo inzake volumeverschillen m.b.t. endogene kosten (uitgezonderd volumeverschillen m.b.t. EAN's)</v>
      </c>
      <c r="C118" s="158"/>
      <c r="D118" s="683">
        <f>T3A!D118</f>
        <v>0</v>
      </c>
      <c r="E118" s="683">
        <f>+E119*E122</f>
        <v>0</v>
      </c>
      <c r="F118" s="128" t="s">
        <v>5</v>
      </c>
      <c r="G118" s="610"/>
    </row>
    <row r="119" spans="1:7" s="20" customFormat="1" ht="46.5" customHeight="1" x14ac:dyDescent="0.25">
      <c r="B119" s="433" t="str">
        <f>+T3A!B119</f>
        <v>Gemiddeld regulatoir saldo volumeverschillen m.b.t. endogene kosten (uitgezonderd volumeverschillen m.b.t. EAN's) voor boekjaar 2019 (positieve waarde voor tekort, en omgekeerd)</v>
      </c>
      <c r="C119" s="159"/>
      <c r="D119" s="160">
        <f>T3A!D119</f>
        <v>0</v>
      </c>
      <c r="E119" s="160">
        <f>AVERAGE(E120:E121)</f>
        <v>0</v>
      </c>
      <c r="F119" s="610"/>
      <c r="G119" s="610"/>
    </row>
    <row r="120" spans="1:7" s="20" customFormat="1" ht="56.25" customHeight="1" x14ac:dyDescent="0.25">
      <c r="B120" s="441" t="str">
        <f>+T3A!B120</f>
        <v>Regulatoir saldo volumeverschillen m.b.t. endogene kosten (uitgez. volumeverschillen m.b.t. EAN's) bij het begin van het boekjaar (01/01/2019) (positieve waarde voor tekort, en omgekeerd)</v>
      </c>
      <c r="C120" s="7" t="str">
        <f>+T3A!C120</f>
        <v>TABEL 5A</v>
      </c>
      <c r="D120" s="160">
        <f>T3A!D120</f>
        <v>0</v>
      </c>
      <c r="E120" s="2">
        <v>0</v>
      </c>
      <c r="F120" s="610"/>
      <c r="G120" s="610"/>
    </row>
    <row r="121" spans="1:7" s="20" customFormat="1" ht="52.5" customHeight="1" x14ac:dyDescent="0.25">
      <c r="B121" s="441" t="str">
        <f>+T3A!B121</f>
        <v>Regulatoir saldo volumeverschillen m.b.t. endogene kosten (uitgez. volumeverschillen m.b.t. EAN's) op het einde van het boekjaar (31/12/2019) (positieve waarde voor tekort, en omgekeerd)</v>
      </c>
      <c r="C121" s="7" t="str">
        <f>+T3A!C121</f>
        <v>TABEL 5A</v>
      </c>
      <c r="D121" s="160">
        <f>T3A!D121</f>
        <v>0</v>
      </c>
      <c r="E121" s="2">
        <v>0</v>
      </c>
      <c r="F121" s="610"/>
      <c r="G121" s="610"/>
    </row>
    <row r="122" spans="1:7" s="20" customFormat="1" ht="32.25" customHeight="1" x14ac:dyDescent="0.25">
      <c r="B122" s="433" t="str">
        <f>+T3A!B122</f>
        <v>Kapitaalkostvergoeding voor boekjaar 2019 (in te vullen door de VREG)</v>
      </c>
      <c r="C122" s="126"/>
      <c r="D122" s="160">
        <f>T3A!D122</f>
        <v>0</v>
      </c>
      <c r="E122" s="724">
        <v>0</v>
      </c>
      <c r="F122" s="610"/>
      <c r="G122" s="610"/>
    </row>
    <row r="123" spans="1:7" s="20" customFormat="1" ht="13" x14ac:dyDescent="0.25">
      <c r="A123" s="48"/>
      <c r="B123" s="136"/>
      <c r="C123" s="156"/>
      <c r="D123" s="720"/>
      <c r="E123" s="720"/>
      <c r="F123" s="129"/>
      <c r="G123" s="610"/>
    </row>
    <row r="124" spans="1:7" s="20" customFormat="1" ht="37.5" customHeight="1" x14ac:dyDescent="0.25">
      <c r="A124" s="48">
        <f>+A118+1</f>
        <v>23</v>
      </c>
      <c r="B124" s="127" t="str">
        <f>+T3A!B124</f>
        <v>Kapitaalkostvergoeding voor het regulatoire saldo inzake herindexering van het budget voor endogene kosten</v>
      </c>
      <c r="C124" s="158"/>
      <c r="D124" s="683">
        <f>+T3A!D124</f>
        <v>0</v>
      </c>
      <c r="E124" s="683">
        <f>+E125*E128</f>
        <v>0</v>
      </c>
      <c r="F124" s="128" t="s">
        <v>5</v>
      </c>
      <c r="G124" s="610"/>
    </row>
    <row r="125" spans="1:7" s="20" customFormat="1" ht="42" customHeight="1" x14ac:dyDescent="0.25">
      <c r="B125" s="433" t="str">
        <f>+T3A!B125</f>
        <v>Gemiddeld regulatoir saldo herindexering van het budget voor endogene kosten voor boekjaar 2019 (positieve waarde voor tekort, en omgekeerd)</v>
      </c>
      <c r="C125" s="159"/>
      <c r="D125" s="160">
        <f>+T3A!D125</f>
        <v>0</v>
      </c>
      <c r="E125" s="160">
        <f>AVERAGE(E126:E127)</f>
        <v>0</v>
      </c>
      <c r="F125" s="610"/>
      <c r="G125" s="610"/>
    </row>
    <row r="126" spans="1:7" s="20" customFormat="1" ht="42" customHeight="1" x14ac:dyDescent="0.25">
      <c r="B126" s="441" t="str">
        <f>+T3A!B126</f>
        <v>Regulatoir saldo herindexering van het budget voor endogene kosten bij het begin van het boekjaar (01/01/2019) (positieve waarde voor tekort, en omgekeerd)</v>
      </c>
      <c r="C126" s="7" t="str">
        <f>+T3A!C126</f>
        <v>TABEL 6A</v>
      </c>
      <c r="D126" s="160">
        <f>+T3A!D126</f>
        <v>0</v>
      </c>
      <c r="E126" s="2">
        <v>0</v>
      </c>
      <c r="F126" s="610"/>
      <c r="G126" s="610"/>
    </row>
    <row r="127" spans="1:7" s="20" customFormat="1" ht="42" customHeight="1" x14ac:dyDescent="0.25">
      <c r="B127" s="441" t="str">
        <f>+T3A!B127</f>
        <v>Regulatoir saldo herindexering van het budget voor endogene kosten op het einde van het boekjaar (31/12/2019) (positieve waarde voor tekort, en omgekeerd)</v>
      </c>
      <c r="C127" s="7" t="str">
        <f>+T3A!C127</f>
        <v>TABEL 6A</v>
      </c>
      <c r="D127" s="160">
        <f>+T3A!D127</f>
        <v>0</v>
      </c>
      <c r="E127" s="2">
        <v>0</v>
      </c>
      <c r="F127" s="610"/>
      <c r="G127" s="610"/>
    </row>
    <row r="128" spans="1:7" s="20" customFormat="1" ht="32.25" customHeight="1" x14ac:dyDescent="0.25">
      <c r="B128" s="433" t="str">
        <f>+T3A!B128</f>
        <v>Kapitaalkostvergoeding voor boekjaar 2019 (in te vullen door de VREG)</v>
      </c>
      <c r="C128" s="126"/>
      <c r="D128" s="160">
        <f>+T3A!D128</f>
        <v>0</v>
      </c>
      <c r="E128" s="724">
        <v>0</v>
      </c>
      <c r="F128" s="610"/>
      <c r="G128" s="610"/>
    </row>
    <row r="129" spans="1:7" s="20" customFormat="1" ht="13" x14ac:dyDescent="0.25">
      <c r="A129" s="48"/>
      <c r="B129" s="136"/>
      <c r="C129" s="156"/>
      <c r="D129" s="720"/>
      <c r="E129" s="720"/>
      <c r="F129" s="129"/>
      <c r="G129" s="610"/>
    </row>
    <row r="130" spans="1:7" s="20" customFormat="1" ht="32.25" customHeight="1" x14ac:dyDescent="0.25">
      <c r="A130" s="48">
        <f>+A124+1</f>
        <v>24</v>
      </c>
      <c r="B130" s="127" t="str">
        <f>+T3A!B130</f>
        <v>Kapitaalkostvergoeding voor het regulatoire saldo inzake vennootschapsbelasting</v>
      </c>
      <c r="C130" s="158"/>
      <c r="D130" s="683">
        <f>+T3A!D130</f>
        <v>0</v>
      </c>
      <c r="E130" s="683">
        <f>+E131*E134</f>
        <v>0</v>
      </c>
      <c r="F130" s="128" t="s">
        <v>5</v>
      </c>
      <c r="G130" s="610"/>
    </row>
    <row r="131" spans="1:7" s="20" customFormat="1" ht="36" customHeight="1" x14ac:dyDescent="0.25">
      <c r="B131" s="433" t="str">
        <f>+T3A!B131</f>
        <v>Gemiddeld regulatoir saldo inzake vennootschapsbelasting voor boekjaar 2019 (positieve waarde voor tekort, en omgekeerd)</v>
      </c>
      <c r="C131" s="159"/>
      <c r="D131" s="160">
        <f>+T3A!D131</f>
        <v>0</v>
      </c>
      <c r="E131" s="160">
        <f>AVERAGE(E132:E133)</f>
        <v>0</v>
      </c>
      <c r="F131" s="610"/>
      <c r="G131" s="610"/>
    </row>
    <row r="132" spans="1:7" s="20" customFormat="1" ht="42" customHeight="1" x14ac:dyDescent="0.25">
      <c r="B132" s="441" t="str">
        <f>+T3A!B132</f>
        <v>Regulatoir saldo inzake vennootschapsbelasting bij het begin van het boekjaar (01/01/2019) (positieve waarde voor tekort, en omgekeerd)</v>
      </c>
      <c r="C132" s="7" t="str">
        <f>+T3A!C132</f>
        <v>TABEL 7</v>
      </c>
      <c r="D132" s="160">
        <f>+T3A!D132</f>
        <v>0</v>
      </c>
      <c r="E132" s="2">
        <v>0</v>
      </c>
      <c r="F132" s="610"/>
      <c r="G132" s="610"/>
    </row>
    <row r="133" spans="1:7" s="20" customFormat="1" ht="42" customHeight="1" x14ac:dyDescent="0.25">
      <c r="B133" s="441" t="str">
        <f>+T3A!B133</f>
        <v>Regulatoir saldo m.b.t. vennootschapsbelasting op het einde van het boekjaar (31/12/2019) (positieve waarde voor tekort, en omgekeerd)</v>
      </c>
      <c r="C133" s="7" t="str">
        <f>+T3A!C133</f>
        <v>TABEL 7</v>
      </c>
      <c r="D133" s="160">
        <f>+T3A!D133</f>
        <v>0</v>
      </c>
      <c r="E133" s="2">
        <v>0</v>
      </c>
      <c r="F133" s="610"/>
      <c r="G133" s="610"/>
    </row>
    <row r="134" spans="1:7" s="20" customFormat="1" ht="32.25" customHeight="1" x14ac:dyDescent="0.25">
      <c r="B134" s="433" t="str">
        <f>+T3A!B134</f>
        <v>Kapitaalkostvergoeding voor boekjaar 2019 (in te vullen door de VREG)</v>
      </c>
      <c r="C134" s="126"/>
      <c r="D134" s="474">
        <f>+T3A!D134</f>
        <v>0</v>
      </c>
      <c r="E134" s="724">
        <v>0</v>
      </c>
      <c r="F134" s="610"/>
      <c r="G134" s="610"/>
    </row>
    <row r="135" spans="1:7" ht="13" x14ac:dyDescent="0.25">
      <c r="B135" s="136"/>
      <c r="C135" s="154"/>
      <c r="D135" s="720"/>
      <c r="E135" s="720"/>
      <c r="F135" s="129"/>
    </row>
    <row r="136" spans="1:7" ht="18" customHeight="1" x14ac:dyDescent="0.25">
      <c r="A136" s="48">
        <f>+A130+1</f>
        <v>25</v>
      </c>
      <c r="B136" s="127" t="str">
        <f>+T3A!B136</f>
        <v>Belastingen, heffingen, toeslagen, bijdragen en retributies</v>
      </c>
      <c r="C136" s="7" t="str">
        <f>+T3A!C136</f>
        <v>TABEL 10</v>
      </c>
      <c r="D136" s="683">
        <f>T3A!D136</f>
        <v>0</v>
      </c>
      <c r="E136" s="683">
        <f>+'T10'!H40</f>
        <v>0</v>
      </c>
      <c r="F136" s="128" t="s">
        <v>5</v>
      </c>
    </row>
    <row r="137" spans="1:7" ht="13" x14ac:dyDescent="0.25">
      <c r="B137" s="136"/>
      <c r="C137" s="154"/>
      <c r="D137" s="720"/>
      <c r="E137" s="720"/>
      <c r="F137" s="129"/>
    </row>
    <row r="138" spans="1:7" ht="13" x14ac:dyDescent="0.25">
      <c r="B138" s="136"/>
      <c r="C138" s="154"/>
      <c r="D138" s="111" t="s">
        <v>0</v>
      </c>
      <c r="E138" s="111" t="s">
        <v>1</v>
      </c>
      <c r="F138" s="129"/>
    </row>
    <row r="139" spans="1:7" x14ac:dyDescent="0.25">
      <c r="B139" s="127"/>
      <c r="C139" s="166"/>
      <c r="D139" s="167">
        <f t="shared" ref="D139:E141" si="4">D12</f>
        <v>2019</v>
      </c>
      <c r="E139" s="167">
        <f t="shared" si="4"/>
        <v>2019</v>
      </c>
      <c r="F139" s="721"/>
      <c r="G139" s="710"/>
    </row>
    <row r="140" spans="1:7" ht="13" x14ac:dyDescent="0.25">
      <c r="B140" s="708"/>
      <c r="C140" s="1014"/>
      <c r="D140" s="170" t="str">
        <f t="shared" si="4"/>
        <v>Naam distributienetbeheerder</v>
      </c>
      <c r="E140" s="170" t="str">
        <f t="shared" si="4"/>
        <v>Naam distributienetbeheerder</v>
      </c>
      <c r="F140" s="721"/>
      <c r="G140" s="129"/>
    </row>
    <row r="141" spans="1:7" x14ac:dyDescent="0.25">
      <c r="B141" s="709"/>
      <c r="C141" s="1015"/>
      <c r="D141" s="172" t="str">
        <f t="shared" si="4"/>
        <v>elektriciteit</v>
      </c>
      <c r="E141" s="172" t="str">
        <f t="shared" si="4"/>
        <v>elektriciteit</v>
      </c>
      <c r="F141" s="721"/>
      <c r="G141" s="710"/>
    </row>
    <row r="142" spans="1:7" ht="25.5" customHeight="1" x14ac:dyDescent="0.25">
      <c r="B142" s="115" t="str">
        <f>T3A!B142</f>
        <v>Exogene kosten i.h.k.v. het basistarief voor het gebruik van het net</v>
      </c>
      <c r="C142" s="166"/>
      <c r="D142" s="173">
        <f>D21+D33+D42+D52+D55+D97+D103+D105+D111+D118+D124+D130+D64</f>
        <v>0</v>
      </c>
      <c r="E142" s="472">
        <f>E21+E33+E42+E52+E55+E97+E103+E105+E111+E118+E124+E130+E64</f>
        <v>0</v>
      </c>
      <c r="F142" s="721"/>
      <c r="G142" s="710"/>
    </row>
    <row r="143" spans="1:7" ht="18" customHeight="1" x14ac:dyDescent="0.25">
      <c r="B143" s="115" t="str">
        <f>T3A!B143</f>
        <v>Exogene kosten i.h.k.v. het tarief voor het systeembeheer</v>
      </c>
      <c r="C143" s="166"/>
      <c r="D143" s="173">
        <f>D22+D34+D43+D56</f>
        <v>0</v>
      </c>
      <c r="E143" s="173">
        <f>E22+E34+E43+E56</f>
        <v>0</v>
      </c>
      <c r="F143" s="721"/>
      <c r="G143" s="710"/>
    </row>
    <row r="144" spans="1:7" ht="18" customHeight="1" x14ac:dyDescent="0.25">
      <c r="B144" s="115" t="str">
        <f>T3A!B144</f>
        <v>Exogene kosten i.h.k.v. het tarief voor de meet-en telactiviteit</v>
      </c>
      <c r="C144" s="166"/>
      <c r="D144" s="173">
        <f>D23+D44+D57</f>
        <v>0</v>
      </c>
      <c r="E144" s="472">
        <f>E23+E44+E57</f>
        <v>0</v>
      </c>
      <c r="F144" s="721"/>
      <c r="G144" s="710"/>
    </row>
    <row r="145" spans="2:7" ht="29.25" customHeight="1" x14ac:dyDescent="0.25">
      <c r="B145" s="117" t="str">
        <f>T3A!B145</f>
        <v>Exogene kosten i.h.k.v. het tarief voor openbare dienstverplichtingen</v>
      </c>
      <c r="C145" s="139"/>
      <c r="D145" s="173">
        <f>D24+D35+D45+D58+D66-D70+D76+D77-D80-D81+D83+D85+D87-D89+D91</f>
        <v>0</v>
      </c>
      <c r="E145" s="472">
        <f>E24+E35+E45+E58+E66-E70+E76+E77-E80-E81+E83+E85+E87-E89+E91</f>
        <v>0</v>
      </c>
      <c r="F145" s="720"/>
    </row>
    <row r="146" spans="2:7" ht="29.25" customHeight="1" x14ac:dyDescent="0.25">
      <c r="B146" s="794" t="str">
        <f>T3A!B146</f>
        <v>Exogene kosten i.h.k.v. het tarief voor het gebruik van het transmissienet</v>
      </c>
      <c r="C146" s="795"/>
      <c r="D146" s="772">
        <f>+D30+D59+D93+D94-D95+D114</f>
        <v>0</v>
      </c>
      <c r="E146" s="772">
        <f>+E30+E59+E93+E94-E95+E114</f>
        <v>0</v>
      </c>
      <c r="F146" s="720"/>
    </row>
    <row r="147" spans="2:7" ht="29.25" customHeight="1" x14ac:dyDescent="0.25">
      <c r="B147" s="117" t="str">
        <f>T3A!B147</f>
        <v>Exogene kosten i.h.k.v. het tarief voor de regeling van de spanning en het reactief vermogen</v>
      </c>
      <c r="C147" s="139"/>
      <c r="D147" s="173">
        <f>D25+D36+D46+D60</f>
        <v>0</v>
      </c>
      <c r="E147" s="472">
        <f>E25+E36+E46+E60</f>
        <v>0</v>
      </c>
      <c r="F147" s="720"/>
    </row>
    <row r="148" spans="2:7" ht="29.25" customHeight="1" x14ac:dyDescent="0.25">
      <c r="B148" s="117" t="str">
        <f>T3A!B148</f>
        <v>Exogene kosten i.h.k.v. het tarief voor de compensatie van de netverliezen</v>
      </c>
      <c r="C148" s="139"/>
      <c r="D148" s="173">
        <f>+D26+D37+D47+D61</f>
        <v>0</v>
      </c>
      <c r="E148" s="472">
        <f>+E26+E37+E47+E61</f>
        <v>0</v>
      </c>
      <c r="F148" s="720"/>
    </row>
    <row r="149" spans="2:7" ht="29.25" customHeight="1" x14ac:dyDescent="0.25">
      <c r="B149" s="117" t="str">
        <f>T3A!B149</f>
        <v>Exogene kosten i.h.k.v. het tarief voor de supplementaire en complementaire diensten</v>
      </c>
      <c r="C149" s="139"/>
      <c r="D149" s="173">
        <f>+D27+D38+D48+D62</f>
        <v>0</v>
      </c>
      <c r="E149" s="472">
        <f>+E27+E38+E48+E62</f>
        <v>0</v>
      </c>
      <c r="F149" s="720"/>
    </row>
    <row r="150" spans="2:7" ht="31.5" customHeight="1" x14ac:dyDescent="0.25">
      <c r="B150" s="117" t="str">
        <f>T3A!B150</f>
        <v>Exogene kosten i.h.k.v. het tarief voor belastingen, heffingen, toeslagen, bijdragen en retributies</v>
      </c>
      <c r="C150" s="139"/>
      <c r="D150" s="173">
        <f>+D28+D39+D49+D63+D136</f>
        <v>0</v>
      </c>
      <c r="E150" s="472">
        <f>+E28+E39+E49+E63+E136</f>
        <v>0</v>
      </c>
      <c r="F150" s="720"/>
      <c r="G150" s="710"/>
    </row>
    <row r="151" spans="2:7" ht="11.25" customHeight="1" x14ac:dyDescent="0.25">
      <c r="B151" s="117"/>
      <c r="C151" s="139"/>
      <c r="D151" s="173"/>
      <c r="E151" s="472"/>
      <c r="F151" s="720"/>
      <c r="G151" s="710"/>
    </row>
    <row r="152" spans="2:7" ht="27" customHeight="1" x14ac:dyDescent="0.25">
      <c r="B152" s="119" t="str">
        <f>T3A!B152</f>
        <v>TOTAAL EXOGENE KOSTEN M.B.T. DISTRIBUTIE</v>
      </c>
      <c r="C152" s="139"/>
      <c r="D152" s="174">
        <f>SUM(D147:D150,D142:D145)</f>
        <v>0</v>
      </c>
      <c r="E152" s="473">
        <f>SUM(E142:E145,E147:E150)</f>
        <v>0</v>
      </c>
      <c r="F152" s="722"/>
      <c r="G152" s="710"/>
    </row>
    <row r="153" spans="2:7" ht="27" customHeight="1" x14ac:dyDescent="0.25">
      <c r="B153" s="119" t="str">
        <f>T3A!B153</f>
        <v>TOTAAL EXOGENE KOSTEN M.B.T. TRANSMISSIE</v>
      </c>
      <c r="C153" s="139"/>
      <c r="D153" s="174">
        <f>SUM(D146)</f>
        <v>0</v>
      </c>
      <c r="E153" s="473">
        <f>SUM(E146)</f>
        <v>0</v>
      </c>
      <c r="F153" s="722"/>
      <c r="G153" s="710"/>
    </row>
    <row r="154" spans="2:7" ht="27" customHeight="1" x14ac:dyDescent="0.25">
      <c r="B154" s="119" t="s">
        <v>294</v>
      </c>
      <c r="C154" s="139"/>
      <c r="D154" s="174">
        <f>SUM(D152:D153)</f>
        <v>0</v>
      </c>
      <c r="E154" s="174">
        <f>SUM(E152:E153)</f>
        <v>0</v>
      </c>
      <c r="F154" s="722"/>
      <c r="G154" s="710"/>
    </row>
    <row r="155" spans="2:7" ht="13" x14ac:dyDescent="0.25">
      <c r="B155" s="448"/>
      <c r="C155" s="178"/>
      <c r="D155" s="51"/>
      <c r="E155" s="449"/>
    </row>
    <row r="157" spans="2:7" ht="30" customHeight="1" x14ac:dyDescent="0.25">
      <c r="B157" s="484" t="s">
        <v>296</v>
      </c>
      <c r="C157" s="645"/>
      <c r="D157" s="486"/>
      <c r="E157" s="183">
        <f>SUM(E158,E167)</f>
        <v>0</v>
      </c>
    </row>
    <row r="158" spans="2:7" ht="27" customHeight="1" x14ac:dyDescent="0.25">
      <c r="B158" s="808" t="s">
        <v>187</v>
      </c>
      <c r="C158" s="811" t="s">
        <v>252</v>
      </c>
      <c r="D158" s="809"/>
      <c r="E158" s="812">
        <f>SUM(E159:E166)</f>
        <v>0</v>
      </c>
    </row>
    <row r="159" spans="2:7" ht="18.75" customHeight="1" x14ac:dyDescent="0.25">
      <c r="B159" s="433" t="s">
        <v>215</v>
      </c>
      <c r="C159" s="645"/>
      <c r="D159" s="486"/>
      <c r="E159" s="181">
        <f>IF($E$141="elektriciteit",SUM(T5C!J18),IF(T3B!$E$141="gas",T5E!I23,"FALSE"))</f>
        <v>0</v>
      </c>
    </row>
    <row r="160" spans="2:7" ht="18.75" customHeight="1" x14ac:dyDescent="0.25">
      <c r="B160" s="433" t="s">
        <v>216</v>
      </c>
      <c r="C160" s="645"/>
      <c r="D160" s="486"/>
      <c r="E160" s="181">
        <f>IF($E$141="elektriciteit",SUM(T5C!J21,T5D!I22),IF(T3B!$E$141="gas",T5E!I26,"FALSE"))</f>
        <v>0</v>
      </c>
    </row>
    <row r="161" spans="2:7" ht="18.75" customHeight="1" x14ac:dyDescent="0.25">
      <c r="B161" s="433" t="s">
        <v>217</v>
      </c>
      <c r="C161" s="645"/>
      <c r="D161" s="486"/>
      <c r="E161" s="181">
        <f>IF($E$141="elektriciteit",SUM(T5C!J24,T5D!I25),IF(T3B!$E$141="gas",T5E!I29,"FALSE"))</f>
        <v>0</v>
      </c>
    </row>
    <row r="162" spans="2:7" ht="18.75" customHeight="1" x14ac:dyDescent="0.25">
      <c r="B162" s="433" t="s">
        <v>218</v>
      </c>
      <c r="C162" s="645"/>
      <c r="D162" s="486"/>
      <c r="E162" s="181">
        <f>IF($E$141="elektriciteit",SUM(T5C!J27),IF(T3B!$E$141="gas",T5E!I32,"FALSE"))</f>
        <v>0</v>
      </c>
    </row>
    <row r="163" spans="2:7" ht="27" customHeight="1" x14ac:dyDescent="0.25">
      <c r="B163" s="433" t="s">
        <v>219</v>
      </c>
      <c r="C163" s="645"/>
      <c r="D163" s="486"/>
      <c r="E163" s="181">
        <f>IF($E$141="elektriciteit",SUM(T5C!J33,T5C!J35),IF(T3B!$E$141="gas",0,"FALSE"))</f>
        <v>0</v>
      </c>
    </row>
    <row r="164" spans="2:7" ht="18.75" customHeight="1" x14ac:dyDescent="0.25">
      <c r="B164" s="433" t="s">
        <v>220</v>
      </c>
      <c r="C164" s="645"/>
      <c r="D164" s="486"/>
      <c r="E164" s="181">
        <f>IF($E$141="elektriciteit",SUM(T5C!J31,T5D!I28),IF(T3B!$E$141="gas",0,"FALSE"))</f>
        <v>0</v>
      </c>
    </row>
    <row r="165" spans="2:7" ht="18.75" customHeight="1" x14ac:dyDescent="0.25">
      <c r="B165" s="433" t="s">
        <v>221</v>
      </c>
      <c r="C165" s="645"/>
      <c r="D165" s="486"/>
      <c r="E165" s="181">
        <f>IF($E$141="elektriciteit",0,IF(T3B!$E$141="gas",SUM(T5E!I35,T5E!I38),"FALSE"))</f>
        <v>0</v>
      </c>
    </row>
    <row r="166" spans="2:7" ht="30" customHeight="1" x14ac:dyDescent="0.25">
      <c r="B166" s="433" t="s">
        <v>222</v>
      </c>
      <c r="C166" s="831"/>
      <c r="D166" s="486"/>
      <c r="E166" s="181">
        <f>IF($E$141="elektriciteit",SUM(T5C!J38,T5D!I31),IF(T3B!$E$141="gas",T5E!I41,"FALSE"))</f>
        <v>0</v>
      </c>
    </row>
    <row r="167" spans="2:7" ht="30" customHeight="1" x14ac:dyDescent="0.25">
      <c r="B167" s="808" t="s">
        <v>188</v>
      </c>
      <c r="C167" s="7" t="s">
        <v>319</v>
      </c>
      <c r="D167" s="809"/>
      <c r="E167" s="810">
        <f>IF($E$141="elektriciteit",T5C!J44,IF(T3B!$E$141="gas",0,"FALSE"))</f>
        <v>0</v>
      </c>
    </row>
    <row r="168" spans="2:7" ht="13" x14ac:dyDescent="0.25">
      <c r="D168" s="485"/>
      <c r="E168" s="485"/>
    </row>
    <row r="169" spans="2:7" s="735" customFormat="1" ht="24.75" customHeight="1" x14ac:dyDescent="0.25">
      <c r="B169" s="456" t="str">
        <f>"Regulatoir saldo inzake exogene kosten voor boekjaar "&amp;D139</f>
        <v>Regulatoir saldo inzake exogene kosten voor boekjaar 2019</v>
      </c>
      <c r="C169" s="775"/>
      <c r="D169" s="776"/>
      <c r="E169" s="778">
        <f>SUM(E170,E179)</f>
        <v>0</v>
      </c>
      <c r="F169" s="777"/>
      <c r="G169" s="777"/>
    </row>
    <row r="170" spans="2:7" ht="24" customHeight="1" x14ac:dyDescent="0.25">
      <c r="B170" s="808" t="s">
        <v>187</v>
      </c>
      <c r="C170" s="811"/>
      <c r="D170" s="809"/>
      <c r="E170" s="813">
        <f>SUM(E171:E178)</f>
        <v>0</v>
      </c>
    </row>
    <row r="171" spans="2:7" ht="18.75" customHeight="1" x14ac:dyDescent="0.25">
      <c r="B171" s="433" t="s">
        <v>215</v>
      </c>
      <c r="C171" s="645"/>
      <c r="D171" s="486"/>
      <c r="E171" s="666">
        <f>(E142-D142)+(D142-E159)</f>
        <v>0</v>
      </c>
    </row>
    <row r="172" spans="2:7" ht="18.75" customHeight="1" x14ac:dyDescent="0.25">
      <c r="B172" s="433" t="s">
        <v>216</v>
      </c>
      <c r="C172" s="645"/>
      <c r="D172" s="486"/>
      <c r="E172" s="666">
        <f>(E143-D143)+(D143-E160)</f>
        <v>0</v>
      </c>
    </row>
    <row r="173" spans="2:7" ht="18.75" customHeight="1" x14ac:dyDescent="0.25">
      <c r="B173" s="433" t="s">
        <v>217</v>
      </c>
      <c r="C173" s="645"/>
      <c r="D173" s="486"/>
      <c r="E173" s="666">
        <f>(E144-D144)+(D144-E161)</f>
        <v>0</v>
      </c>
    </row>
    <row r="174" spans="2:7" ht="18.75" customHeight="1" x14ac:dyDescent="0.25">
      <c r="B174" s="433" t="s">
        <v>218</v>
      </c>
      <c r="C174" s="645"/>
      <c r="D174" s="486"/>
      <c r="E174" s="666">
        <f>(E145-D145)+(D145-E162)</f>
        <v>0</v>
      </c>
    </row>
    <row r="175" spans="2:7" ht="29.25" customHeight="1" x14ac:dyDescent="0.25">
      <c r="B175" s="433" t="s">
        <v>219</v>
      </c>
      <c r="C175" s="645"/>
      <c r="D175" s="486"/>
      <c r="E175" s="666">
        <f>(E147-D147)+(D147-E163)</f>
        <v>0</v>
      </c>
    </row>
    <row r="176" spans="2:7" ht="20.25" customHeight="1" x14ac:dyDescent="0.25">
      <c r="B176" s="433" t="s">
        <v>220</v>
      </c>
      <c r="C176" s="645"/>
      <c r="D176" s="486"/>
      <c r="E176" s="666">
        <f>(E148-D148)+(D148-E164)</f>
        <v>0</v>
      </c>
    </row>
    <row r="177" spans="1:7" ht="21.75" customHeight="1" x14ac:dyDescent="0.25">
      <c r="B177" s="433" t="s">
        <v>221</v>
      </c>
      <c r="C177" s="645"/>
      <c r="D177" s="486"/>
      <c r="E177" s="666">
        <f>(E149-D149)+(D149-E165)</f>
        <v>0</v>
      </c>
    </row>
    <row r="178" spans="1:7" ht="30" customHeight="1" x14ac:dyDescent="0.25">
      <c r="B178" s="433" t="s">
        <v>222</v>
      </c>
      <c r="C178" s="645"/>
      <c r="D178" s="486"/>
      <c r="E178" s="666">
        <f>(E150-D150)+(D150-E166)</f>
        <v>0</v>
      </c>
    </row>
    <row r="179" spans="1:7" ht="25.5" customHeight="1" x14ac:dyDescent="0.25">
      <c r="B179" s="808" t="s">
        <v>188</v>
      </c>
      <c r="C179" s="811"/>
      <c r="D179" s="809"/>
      <c r="E179" s="812">
        <f>+(E146-D146)+(D146-E167)</f>
        <v>0</v>
      </c>
    </row>
    <row r="180" spans="1:7" ht="13" x14ac:dyDescent="0.3">
      <c r="E180" s="184" t="s">
        <v>64</v>
      </c>
    </row>
    <row r="181" spans="1:7" ht="13" x14ac:dyDescent="0.3">
      <c r="B181" s="186"/>
      <c r="E181" s="185" t="s">
        <v>65</v>
      </c>
    </row>
    <row r="183" spans="1:7" ht="13" x14ac:dyDescent="0.25">
      <c r="B183" s="49"/>
    </row>
    <row r="189" spans="1:7" s="130" customFormat="1" x14ac:dyDescent="0.25">
      <c r="A189" s="48"/>
      <c r="B189" s="704"/>
      <c r="C189" s="50"/>
      <c r="D189" s="176"/>
      <c r="E189" s="176"/>
      <c r="F189" s="710"/>
      <c r="G189" s="714"/>
    </row>
  </sheetData>
  <customSheetViews>
    <customSheetView guid="{C8C7977F-B6BF-432B-A1A7-559450D521AF}" scale="85" topLeftCell="A43">
      <selection activeCell="B60" sqref="B60"/>
      <pageMargins left="0.75" right="0.75" top="1" bottom="1" header="0.5" footer="0.5"/>
      <pageSetup paperSize="9" orientation="portrait" r:id="rId1"/>
      <headerFooter alignWithMargins="0"/>
    </customSheetView>
  </customSheetViews>
  <mergeCells count="8">
    <mergeCell ref="C140:C141"/>
    <mergeCell ref="B7:E8"/>
    <mergeCell ref="A1:G1"/>
    <mergeCell ref="B16:B18"/>
    <mergeCell ref="C16:C18"/>
    <mergeCell ref="D16:D18"/>
    <mergeCell ref="E16:E18"/>
    <mergeCell ref="F16:F18"/>
  </mergeCells>
  <conditionalFormatting sqref="D42:E49 D52:E52">
    <cfRule type="expression" dxfId="82" priority="26" stopIfTrue="1">
      <formula>$D$12=2017</formula>
    </cfRule>
  </conditionalFormatting>
  <conditionalFormatting sqref="E20:E28 E32:E39 E41:E49 E51:E52 E54:E64 E66:E73 E75:E77 E79:E81 E83 E85 E87 E89 E91 E97:E101 E103 E105:E109 E111:E116 E118:E122 E124:E128 E130:E134 E136 E157:E167 E169:E179 E93 E142:E155 E30">
    <cfRule type="expression" dxfId="81" priority="21" stopIfTrue="1">
      <formula>$N$2="ex-ante"</formula>
    </cfRule>
  </conditionalFormatting>
  <conditionalFormatting sqref="B25:F26 B30:F30 B36:F37 B46:F47 B59:F61 B66:F73 B75:E77 F76:F77 B79:E81 F80:F81 B83:F83 B85:F85 B87:F87 B89:F89 B91:F91 B97:E101 F97 B103:F103 B114:E116 F114 B153:E153 B163:E164 B167:E167 B175:E176 B179:E179 B93:F93 B94:D95 B146:E148">
    <cfRule type="expression" dxfId="80" priority="20" stopIfTrue="1">
      <formula>$D$14="gas"</formula>
    </cfRule>
  </conditionalFormatting>
  <conditionalFormatting sqref="B27:F27 B38:F38 B48:F48 B62:F62 B149:E149 B165:E165 B177:E177">
    <cfRule type="expression" dxfId="79" priority="19" stopIfTrue="1">
      <formula>$D$14="elektriciteit"</formula>
    </cfRule>
  </conditionalFormatting>
  <conditionalFormatting sqref="E94">
    <cfRule type="expression" dxfId="78" priority="6" stopIfTrue="1">
      <formula>$N$2="ex-ante"</formula>
    </cfRule>
  </conditionalFormatting>
  <conditionalFormatting sqref="E94">
    <cfRule type="expression" dxfId="77" priority="5" stopIfTrue="1">
      <formula>$D$14="gas"</formula>
    </cfRule>
  </conditionalFormatting>
  <conditionalFormatting sqref="F94">
    <cfRule type="expression" dxfId="76" priority="4" stopIfTrue="1">
      <formula>$D$14="gas"</formula>
    </cfRule>
  </conditionalFormatting>
  <conditionalFormatting sqref="E95">
    <cfRule type="expression" dxfId="75" priority="3" stopIfTrue="1">
      <formula>$N$2="ex-ante"</formula>
    </cfRule>
  </conditionalFormatting>
  <conditionalFormatting sqref="E95">
    <cfRule type="expression" dxfId="74" priority="2" stopIfTrue="1">
      <formula>$D$14="gas"</formula>
    </cfRule>
  </conditionalFormatting>
  <conditionalFormatting sqref="F95">
    <cfRule type="expression" dxfId="73" priority="1" stopIfTrue="1">
      <formula>$D$14="gas"</formula>
    </cfRule>
  </conditionalFormatting>
  <conditionalFormatting sqref="D52:E52">
    <cfRule type="expression" dxfId="72" priority="25" stopIfTrue="1">
      <formula>$D$12=2018</formula>
    </cfRule>
  </conditionalFormatting>
  <hyperlinks>
    <hyperlink ref="C20" location="T4B!A1" display="T4B!A1"/>
    <hyperlink ref="C30" location="T4C!A1" display="T4C!A1"/>
    <hyperlink ref="C32" location="T5B!A1" display="T5B!A1"/>
    <hyperlink ref="C41" location="T6B!A1" display="T6B!A1"/>
    <hyperlink ref="C51" location="'T7'!A1" display="'T7'!A1"/>
    <hyperlink ref="C54" location="'T8'!A1" display="'T8'!A1"/>
    <hyperlink ref="C103" location="'T9'!A1" display="'T9'!A1"/>
    <hyperlink ref="C107" location="'T8'!A1" display="'T8'!A1"/>
    <hyperlink ref="C108" location="'T8'!A1" display="'T8'!A1"/>
    <hyperlink ref="C112" location="T4A!A1" display="T4A!A1"/>
    <hyperlink ref="C115" location="T4C!A1" display="T4C!A1"/>
    <hyperlink ref="C120" location="T5A!A1" display="T5A!A1"/>
    <hyperlink ref="C121" location="T5A!A1" display="T5A!A1"/>
    <hyperlink ref="C126" location="T6A!A1" display="T6A!A1"/>
    <hyperlink ref="C127" location="T6A!A1" display="T6A!A1"/>
    <hyperlink ref="C132" location="'T7'!A1" display="'T7'!A1"/>
    <hyperlink ref="C133" location="'T7'!A1" display="'T7'!A1"/>
    <hyperlink ref="C136" location="'T10'!A1" display="'T10'!A1"/>
    <hyperlink ref="C167" location="T5C!A1" display="TABEL 5C"/>
  </hyperlinks>
  <pageMargins left="0.74803149606299213" right="0.74803149606299213" top="0.98425196850393704" bottom="0.98425196850393704" header="0.51181102362204722" footer="0.51181102362204722"/>
  <pageSetup paperSize="8" scale="43" fitToWidth="2" fitToHeight="2" orientation="portrait" r:id="rId2"/>
  <headerFooter alignWithMargins="0"/>
  <rowBreaks count="3" manualBreakCount="3">
    <brk id="65" max="10" man="1"/>
    <brk id="110" max="10" man="1"/>
    <brk id="18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pageSetUpPr fitToPage="1"/>
  </sheetPr>
  <dimension ref="A1:AC57"/>
  <sheetViews>
    <sheetView topLeftCell="A16" zoomScale="80" zoomScaleNormal="80" zoomScaleSheetLayoutView="80" workbookViewId="0">
      <selection activeCell="C47" sqref="C47"/>
    </sheetView>
  </sheetViews>
  <sheetFormatPr defaultColWidth="11.453125" defaultRowHeight="12.5" x14ac:dyDescent="0.25"/>
  <cols>
    <col min="1" max="1" width="19.7265625" style="187" customWidth="1"/>
    <col min="2" max="2" width="14.81640625" style="187" customWidth="1"/>
    <col min="3" max="8" width="17.7265625" style="187" customWidth="1"/>
    <col min="9" max="9" width="2.26953125" style="187" customWidth="1"/>
    <col min="10" max="10" width="17.7265625" style="187" customWidth="1"/>
    <col min="11" max="11" width="2" style="187" customWidth="1"/>
    <col min="12" max="12" width="17.7265625" style="187" customWidth="1"/>
    <col min="13" max="13" width="26.7265625" style="187" bestFit="1" customWidth="1"/>
    <col min="14" max="14" width="14" style="187" customWidth="1"/>
    <col min="15" max="15" width="11.453125" style="187"/>
    <col min="16" max="16" width="12.26953125" style="187" bestFit="1" customWidth="1"/>
    <col min="17" max="16384" width="11.453125" style="187"/>
  </cols>
  <sheetData>
    <row r="1" spans="1:29" ht="21" customHeight="1" thickBot="1" x14ac:dyDescent="0.45">
      <c r="A1" s="1051" t="s">
        <v>307</v>
      </c>
      <c r="B1" s="1052"/>
      <c r="C1" s="1052"/>
      <c r="D1" s="1052"/>
      <c r="E1" s="1052"/>
      <c r="F1" s="1052"/>
      <c r="G1" s="1052"/>
      <c r="H1" s="1052"/>
      <c r="I1" s="1052"/>
      <c r="J1" s="1053"/>
      <c r="K1" s="46"/>
      <c r="L1" s="46"/>
      <c r="M1" s="46"/>
    </row>
    <row r="2" spans="1:29" x14ac:dyDescent="0.25">
      <c r="A2" s="233"/>
      <c r="B2" s="233"/>
      <c r="C2" s="233"/>
      <c r="D2" s="233"/>
      <c r="E2" s="233"/>
      <c r="F2" s="233"/>
      <c r="G2" s="233"/>
      <c r="H2" s="233"/>
      <c r="I2" s="233"/>
      <c r="J2" s="233"/>
      <c r="K2" s="188"/>
      <c r="L2" s="188"/>
      <c r="M2" s="188"/>
    </row>
    <row r="3" spans="1:29" ht="13" thickBot="1" x14ac:dyDescent="0.3">
      <c r="A3" s="233"/>
      <c r="B3" s="233"/>
      <c r="C3" s="233"/>
      <c r="D3" s="233"/>
      <c r="E3" s="233"/>
      <c r="F3" s="233"/>
      <c r="G3" s="233"/>
      <c r="H3" s="233"/>
      <c r="I3" s="233"/>
      <c r="J3" s="233"/>
      <c r="K3" s="188"/>
      <c r="L3" s="188"/>
      <c r="M3" s="188"/>
    </row>
    <row r="4" spans="1:29" s="190" customFormat="1" ht="21.75" customHeight="1" thickBot="1" x14ac:dyDescent="0.4">
      <c r="A4" s="1040" t="s">
        <v>235</v>
      </c>
      <c r="B4" s="1041"/>
      <c r="C4" s="1041"/>
      <c r="D4" s="1041"/>
      <c r="E4" s="1041"/>
      <c r="F4" s="1041"/>
      <c r="G4" s="1041"/>
      <c r="H4" s="1041"/>
      <c r="I4" s="1041"/>
      <c r="J4" s="1042"/>
      <c r="K4" s="189"/>
      <c r="L4" s="487"/>
      <c r="M4" s="488" t="str">
        <f>+TITELBLAD!B18</f>
        <v>Rapportering over boekjaar:</v>
      </c>
      <c r="N4" s="488">
        <f>+TITELBLAD!E18</f>
        <v>2019</v>
      </c>
      <c r="O4" s="488" t="str">
        <f>+TITELBLAD!F18</f>
        <v>ex-ante</v>
      </c>
      <c r="P4" s="187"/>
      <c r="Q4" s="187"/>
      <c r="R4" s="187"/>
      <c r="S4" s="187"/>
      <c r="T4" s="187"/>
      <c r="U4" s="187"/>
      <c r="V4" s="187"/>
      <c r="W4" s="187"/>
      <c r="X4" s="187"/>
      <c r="Y4" s="187"/>
      <c r="Z4" s="187"/>
      <c r="AA4" s="187"/>
      <c r="AB4" s="187"/>
      <c r="AC4" s="187"/>
    </row>
    <row r="5" spans="1:29" ht="13" thickBot="1" x14ac:dyDescent="0.3">
      <c r="L5" s="488"/>
      <c r="M5" s="488"/>
      <c r="N5" s="488"/>
      <c r="O5" s="488"/>
    </row>
    <row r="6" spans="1:29" ht="17" thickBot="1" x14ac:dyDescent="0.4">
      <c r="C6" s="1054" t="str">
        <f>+TITELBLAD!C7</f>
        <v>Naam distributienetbeheerder</v>
      </c>
      <c r="D6" s="1055"/>
      <c r="E6" s="1055"/>
      <c r="F6" s="1055"/>
      <c r="G6" s="1055"/>
      <c r="H6" s="1056"/>
      <c r="L6" s="488"/>
      <c r="M6" s="488"/>
      <c r="N6" s="488"/>
      <c r="O6" s="488"/>
    </row>
    <row r="7" spans="1:29" ht="17" thickBot="1" x14ac:dyDescent="0.4">
      <c r="C7" s="1054" t="str">
        <f>+TITELBLAD!C12</f>
        <v>elektriciteit</v>
      </c>
      <c r="D7" s="1055"/>
      <c r="E7" s="1055"/>
      <c r="F7" s="1055"/>
      <c r="G7" s="1055"/>
      <c r="H7" s="1056"/>
      <c r="L7" s="488"/>
      <c r="M7" s="488"/>
      <c r="N7" s="488"/>
      <c r="O7" s="488"/>
    </row>
    <row r="8" spans="1:29" s="190" customFormat="1" ht="17" thickBot="1" x14ac:dyDescent="0.4">
      <c r="A8" s="187"/>
      <c r="B8" s="187"/>
      <c r="C8" s="1043" t="s">
        <v>43</v>
      </c>
      <c r="D8" s="1044"/>
      <c r="E8" s="1044"/>
      <c r="F8" s="1044"/>
      <c r="G8" s="1044"/>
      <c r="H8" s="1045"/>
      <c r="I8" s="187"/>
      <c r="J8" s="187"/>
      <c r="K8" s="187"/>
      <c r="L8" s="187"/>
      <c r="M8" s="187"/>
      <c r="N8" s="187"/>
      <c r="O8" s="187"/>
      <c r="P8" s="187"/>
      <c r="Q8" s="187"/>
      <c r="R8" s="187"/>
      <c r="S8" s="187"/>
      <c r="T8" s="187"/>
      <c r="U8" s="187"/>
      <c r="V8" s="187"/>
      <c r="W8" s="187"/>
      <c r="X8" s="187"/>
      <c r="Y8" s="187"/>
      <c r="Z8" s="187"/>
      <c r="AA8" s="187"/>
      <c r="AB8" s="187"/>
      <c r="AC8" s="187"/>
    </row>
    <row r="9" spans="1:29" s="190" customFormat="1" ht="13.5" thickBot="1" x14ac:dyDescent="0.35">
      <c r="A9" s="187"/>
      <c r="B9" s="187"/>
      <c r="C9" s="672">
        <v>2015</v>
      </c>
      <c r="D9" s="673">
        <v>2016</v>
      </c>
      <c r="E9" s="673">
        <v>2017</v>
      </c>
      <c r="F9" s="673">
        <v>2018</v>
      </c>
      <c r="G9" s="673">
        <v>2019</v>
      </c>
      <c r="H9" s="670">
        <v>2020</v>
      </c>
      <c r="I9" s="187"/>
      <c r="J9" s="187"/>
      <c r="K9" s="187"/>
      <c r="L9" s="187"/>
      <c r="M9" s="187"/>
      <c r="N9" s="187"/>
      <c r="O9" s="187"/>
      <c r="P9" s="187"/>
      <c r="Q9" s="187"/>
      <c r="R9" s="187"/>
      <c r="S9" s="187"/>
      <c r="T9" s="187"/>
      <c r="U9" s="187"/>
      <c r="V9" s="187"/>
      <c r="W9" s="187"/>
      <c r="X9" s="187"/>
      <c r="Y9" s="187"/>
      <c r="Z9" s="187"/>
      <c r="AA9" s="187"/>
      <c r="AB9" s="187"/>
      <c r="AC9" s="187"/>
    </row>
    <row r="10" spans="1:29" s="190" customFormat="1" x14ac:dyDescent="0.25">
      <c r="A10" s="187"/>
      <c r="B10" s="187"/>
      <c r="C10" s="467">
        <v>0</v>
      </c>
      <c r="D10" s="671">
        <v>0</v>
      </c>
      <c r="E10" s="671">
        <v>0</v>
      </c>
      <c r="F10" s="671">
        <v>0</v>
      </c>
      <c r="G10" s="671">
        <v>0</v>
      </c>
      <c r="H10" s="671">
        <v>0</v>
      </c>
      <c r="I10" s="187"/>
      <c r="J10" s="187"/>
      <c r="K10" s="187"/>
      <c r="L10" s="187"/>
      <c r="M10" s="187"/>
      <c r="N10" s="187"/>
      <c r="O10" s="187"/>
      <c r="P10" s="187"/>
      <c r="Q10" s="187"/>
      <c r="R10" s="187"/>
      <c r="S10" s="187"/>
      <c r="T10" s="187"/>
      <c r="U10" s="187"/>
      <c r="V10" s="187"/>
      <c r="W10" s="187"/>
      <c r="X10" s="187"/>
      <c r="Y10" s="187"/>
      <c r="Z10" s="187"/>
      <c r="AA10" s="187"/>
      <c r="AB10" s="187"/>
      <c r="AC10" s="187"/>
    </row>
    <row r="11" spans="1:29" s="193" customFormat="1" ht="13" x14ac:dyDescent="0.3">
      <c r="C11" s="194" t="s">
        <v>67</v>
      </c>
      <c r="F11" s="195"/>
      <c r="G11" s="195"/>
      <c r="H11" s="195"/>
    </row>
    <row r="12" spans="1:29" s="193" customFormat="1" ht="13" x14ac:dyDescent="0.3">
      <c r="C12" s="196" t="s">
        <v>344</v>
      </c>
    </row>
    <row r="13" spans="1:29" s="193" customFormat="1" ht="13" x14ac:dyDescent="0.3">
      <c r="C13" s="196"/>
    </row>
    <row r="14" spans="1:29" ht="13.5" thickBot="1" x14ac:dyDescent="0.35">
      <c r="C14" s="197"/>
    </row>
    <row r="15" spans="1:29" ht="21.75" customHeight="1" thickBot="1" x14ac:dyDescent="0.35">
      <c r="A15" s="1046" t="s">
        <v>29</v>
      </c>
      <c r="B15" s="1047"/>
      <c r="C15" s="1047"/>
      <c r="D15" s="1047"/>
      <c r="E15" s="1047"/>
      <c r="F15" s="1047"/>
      <c r="G15" s="1047"/>
      <c r="H15" s="1047"/>
      <c r="I15" s="1047"/>
      <c r="J15" s="1048"/>
      <c r="K15" s="1049"/>
      <c r="L15" s="1050"/>
    </row>
    <row r="17" spans="1:29" ht="13" x14ac:dyDescent="0.3">
      <c r="C17" s="194" t="s">
        <v>67</v>
      </c>
    </row>
    <row r="18" spans="1:29" ht="13" x14ac:dyDescent="0.3">
      <c r="C18" s="196" t="s">
        <v>344</v>
      </c>
    </row>
    <row r="19" spans="1:29" ht="16.5" x14ac:dyDescent="0.35">
      <c r="C19" s="1023" t="s">
        <v>30</v>
      </c>
      <c r="D19" s="1024"/>
      <c r="E19" s="1024"/>
      <c r="F19" s="1024"/>
      <c r="G19" s="1024"/>
      <c r="H19" s="1025"/>
      <c r="J19" s="200" t="s">
        <v>31</v>
      </c>
    </row>
    <row r="20" spans="1:29" ht="13.5" thickBot="1" x14ac:dyDescent="0.35">
      <c r="A20" s="1035"/>
      <c r="B20" s="1035"/>
      <c r="C20" s="201">
        <f t="shared" ref="C20:H20" si="0">C9</f>
        <v>2015</v>
      </c>
      <c r="D20" s="202">
        <f t="shared" si="0"/>
        <v>2016</v>
      </c>
      <c r="E20" s="202">
        <f t="shared" si="0"/>
        <v>2017</v>
      </c>
      <c r="F20" s="202">
        <f t="shared" si="0"/>
        <v>2018</v>
      </c>
      <c r="G20" s="202">
        <f t="shared" si="0"/>
        <v>2019</v>
      </c>
      <c r="H20" s="202">
        <f t="shared" si="0"/>
        <v>2020</v>
      </c>
      <c r="J20" s="203"/>
    </row>
    <row r="21" spans="1:29" s="190" customFormat="1" ht="12.75" customHeight="1" thickBot="1" x14ac:dyDescent="0.3">
      <c r="A21" s="1032" t="s">
        <v>32</v>
      </c>
      <c r="B21" s="204">
        <f>C9</f>
        <v>2015</v>
      </c>
      <c r="C21" s="669">
        <v>0</v>
      </c>
      <c r="D21" s="205"/>
      <c r="E21" s="205"/>
      <c r="F21" s="205"/>
      <c r="G21" s="205"/>
      <c r="H21" s="206"/>
      <c r="I21" s="207"/>
      <c r="J21" s="208">
        <f t="shared" ref="J21:J26" si="1">SUM(C21:H21)</f>
        <v>0</v>
      </c>
      <c r="K21" s="187"/>
      <c r="L21" s="187"/>
      <c r="M21" s="187"/>
      <c r="N21" s="187"/>
      <c r="O21" s="187"/>
      <c r="P21" s="187"/>
      <c r="Q21" s="187"/>
      <c r="R21" s="187"/>
      <c r="S21" s="187"/>
      <c r="T21" s="187"/>
      <c r="U21" s="187"/>
      <c r="V21" s="187"/>
      <c r="W21" s="187"/>
      <c r="X21" s="187"/>
      <c r="Y21" s="187"/>
      <c r="Z21" s="187"/>
      <c r="AA21" s="187"/>
      <c r="AB21" s="187"/>
      <c r="AC21" s="187"/>
    </row>
    <row r="22" spans="1:29" s="190" customFormat="1" ht="13.5" customHeight="1" thickBot="1" x14ac:dyDescent="0.3">
      <c r="A22" s="1033"/>
      <c r="B22" s="209">
        <f>D9</f>
        <v>2016</v>
      </c>
      <c r="C22" s="470">
        <f>C10-C21</f>
        <v>0</v>
      </c>
      <c r="D22" s="669">
        <v>0</v>
      </c>
      <c r="E22" s="210"/>
      <c r="F22" s="210"/>
      <c r="G22" s="210"/>
      <c r="H22" s="211"/>
      <c r="I22" s="207"/>
      <c r="J22" s="208">
        <f t="shared" si="1"/>
        <v>0</v>
      </c>
      <c r="K22" s="187"/>
      <c r="L22" s="187"/>
      <c r="M22" s="187"/>
      <c r="N22" s="187"/>
      <c r="O22" s="187"/>
      <c r="P22" s="187"/>
      <c r="Q22" s="187"/>
      <c r="R22" s="187"/>
      <c r="S22" s="187"/>
      <c r="T22" s="187"/>
      <c r="U22" s="187"/>
      <c r="V22" s="187"/>
      <c r="W22" s="187"/>
      <c r="X22" s="187"/>
      <c r="Y22" s="187"/>
      <c r="Z22" s="187"/>
      <c r="AA22" s="187"/>
      <c r="AB22" s="187"/>
      <c r="AC22" s="187"/>
    </row>
    <row r="23" spans="1:29" s="190" customFormat="1" ht="13.5" customHeight="1" thickBot="1" x14ac:dyDescent="0.3">
      <c r="A23" s="1033"/>
      <c r="B23" s="209">
        <f>E9</f>
        <v>2017</v>
      </c>
      <c r="C23" s="210"/>
      <c r="D23" s="470">
        <f>D10-D22</f>
        <v>0</v>
      </c>
      <c r="E23" s="669">
        <v>0</v>
      </c>
      <c r="F23" s="210"/>
      <c r="G23" s="210"/>
      <c r="H23" s="211"/>
      <c r="I23" s="207"/>
      <c r="J23" s="208">
        <f t="shared" si="1"/>
        <v>0</v>
      </c>
      <c r="K23" s="187"/>
      <c r="L23" s="187"/>
      <c r="M23" s="187"/>
      <c r="N23" s="187"/>
      <c r="O23" s="187"/>
      <c r="P23" s="187"/>
      <c r="Q23" s="187"/>
      <c r="R23" s="187"/>
      <c r="S23" s="187"/>
      <c r="T23" s="187"/>
      <c r="U23" s="187"/>
      <c r="V23" s="187"/>
      <c r="W23" s="187"/>
      <c r="X23" s="187"/>
      <c r="Y23" s="187"/>
      <c r="Z23" s="187"/>
      <c r="AA23" s="187"/>
      <c r="AB23" s="187"/>
      <c r="AC23" s="187"/>
    </row>
    <row r="24" spans="1:29" s="190" customFormat="1" ht="13.5" customHeight="1" thickBot="1" x14ac:dyDescent="0.3">
      <c r="A24" s="1033"/>
      <c r="B24" s="209">
        <f>F9</f>
        <v>2018</v>
      </c>
      <c r="C24" s="210"/>
      <c r="D24" s="210"/>
      <c r="E24" s="470">
        <f>E10-E23</f>
        <v>0</v>
      </c>
      <c r="F24" s="669">
        <v>0</v>
      </c>
      <c r="G24" s="210"/>
      <c r="H24" s="211"/>
      <c r="I24" s="207"/>
      <c r="J24" s="208">
        <f t="shared" si="1"/>
        <v>0</v>
      </c>
      <c r="K24" s="187"/>
      <c r="L24" s="187"/>
      <c r="M24" s="187"/>
      <c r="N24" s="187"/>
      <c r="O24" s="187"/>
      <c r="P24" s="187"/>
      <c r="Q24" s="187"/>
      <c r="R24" s="187"/>
      <c r="S24" s="187"/>
      <c r="T24" s="187"/>
      <c r="U24" s="187"/>
      <c r="V24" s="187"/>
      <c r="W24" s="187"/>
      <c r="X24" s="187"/>
      <c r="Y24" s="187"/>
      <c r="Z24" s="187"/>
      <c r="AA24" s="187"/>
      <c r="AB24" s="187"/>
      <c r="AC24" s="187"/>
    </row>
    <row r="25" spans="1:29" s="190" customFormat="1" ht="13.5" customHeight="1" thickBot="1" x14ac:dyDescent="0.3">
      <c r="A25" s="1033"/>
      <c r="B25" s="209">
        <f>G9</f>
        <v>2019</v>
      </c>
      <c r="C25" s="210"/>
      <c r="D25" s="210"/>
      <c r="E25" s="210"/>
      <c r="F25" s="470">
        <f>F10-F24</f>
        <v>0</v>
      </c>
      <c r="G25" s="669">
        <v>0</v>
      </c>
      <c r="H25" s="211"/>
      <c r="I25" s="207"/>
      <c r="J25" s="208">
        <f t="shared" si="1"/>
        <v>0</v>
      </c>
      <c r="K25" s="187"/>
      <c r="L25" s="187"/>
      <c r="M25" s="187"/>
      <c r="N25" s="187"/>
      <c r="O25" s="187"/>
      <c r="P25" s="187"/>
      <c r="Q25" s="187"/>
      <c r="R25" s="187"/>
      <c r="S25" s="187"/>
      <c r="T25" s="187"/>
      <c r="U25" s="187"/>
      <c r="V25" s="187"/>
      <c r="W25" s="187"/>
      <c r="X25" s="187"/>
      <c r="Y25" s="187"/>
      <c r="Z25" s="187"/>
      <c r="AA25" s="187"/>
      <c r="AB25" s="187"/>
      <c r="AC25" s="187"/>
    </row>
    <row r="26" spans="1:29" s="190" customFormat="1" ht="13.5" customHeight="1" thickBot="1" x14ac:dyDescent="0.3">
      <c r="A26" s="1033"/>
      <c r="B26" s="209">
        <f>H9</f>
        <v>2020</v>
      </c>
      <c r="C26" s="210"/>
      <c r="D26" s="210"/>
      <c r="E26" s="210"/>
      <c r="F26" s="210"/>
      <c r="G26" s="470">
        <f>G10-G25</f>
        <v>0</v>
      </c>
      <c r="H26" s="669">
        <v>0</v>
      </c>
      <c r="I26" s="207"/>
      <c r="J26" s="208">
        <f t="shared" si="1"/>
        <v>0</v>
      </c>
      <c r="K26" s="187"/>
      <c r="L26" s="187"/>
      <c r="M26" s="187"/>
      <c r="N26" s="187"/>
      <c r="O26" s="187"/>
      <c r="P26" s="187"/>
      <c r="Q26" s="187"/>
      <c r="R26" s="187"/>
      <c r="S26" s="187"/>
      <c r="T26" s="187"/>
      <c r="U26" s="187"/>
      <c r="V26" s="187"/>
      <c r="W26" s="187"/>
      <c r="X26" s="187"/>
      <c r="Y26" s="187"/>
      <c r="Z26" s="187"/>
      <c r="AA26" s="187"/>
      <c r="AB26" s="187"/>
      <c r="AC26" s="187"/>
    </row>
    <row r="27" spans="1:29" s="199" customFormat="1" ht="15.5" x14ac:dyDescent="0.35">
      <c r="A27" s="1036"/>
      <c r="B27" s="212" t="s">
        <v>33</v>
      </c>
      <c r="C27" s="213">
        <f t="shared" ref="C27:H27" si="2">SUM(C21:C26)</f>
        <v>0</v>
      </c>
      <c r="D27" s="213">
        <f t="shared" si="2"/>
        <v>0</v>
      </c>
      <c r="E27" s="213">
        <f t="shared" si="2"/>
        <v>0</v>
      </c>
      <c r="F27" s="213">
        <f t="shared" si="2"/>
        <v>0</v>
      </c>
      <c r="G27" s="213">
        <f t="shared" si="2"/>
        <v>0</v>
      </c>
      <c r="H27" s="214">
        <f t="shared" si="2"/>
        <v>0</v>
      </c>
      <c r="I27" s="215"/>
      <c r="J27" s="216">
        <f>SUM(J21:J26)</f>
        <v>0</v>
      </c>
      <c r="K27" s="198"/>
      <c r="L27" s="198"/>
      <c r="M27" s="198"/>
      <c r="N27" s="198"/>
      <c r="O27" s="198"/>
      <c r="P27" s="198"/>
      <c r="Q27" s="198"/>
      <c r="R27" s="198"/>
      <c r="S27" s="198"/>
      <c r="T27" s="198"/>
      <c r="U27" s="198"/>
      <c r="V27" s="198"/>
      <c r="W27" s="198"/>
      <c r="X27" s="198"/>
      <c r="Y27" s="198"/>
      <c r="Z27" s="198"/>
      <c r="AA27" s="198"/>
      <c r="AB27" s="198"/>
      <c r="AC27" s="198"/>
    </row>
    <row r="28" spans="1:29" s="196" customFormat="1" ht="15.75" customHeight="1" x14ac:dyDescent="0.3">
      <c r="A28" s="217" t="s">
        <v>58</v>
      </c>
      <c r="C28" s="218">
        <f t="shared" ref="C28:H28" si="3">+C27+C40</f>
        <v>0</v>
      </c>
      <c r="D28" s="218">
        <f t="shared" si="3"/>
        <v>0</v>
      </c>
      <c r="E28" s="218">
        <f t="shared" si="3"/>
        <v>0</v>
      </c>
      <c r="F28" s="218">
        <f t="shared" si="3"/>
        <v>0</v>
      </c>
      <c r="G28" s="218">
        <f t="shared" si="3"/>
        <v>0</v>
      </c>
      <c r="H28" s="218">
        <f t="shared" si="3"/>
        <v>0</v>
      </c>
      <c r="I28" s="218"/>
      <c r="J28" s="218">
        <f>+J27+J40</f>
        <v>0</v>
      </c>
      <c r="K28" s="218">
        <f>+K27+K40</f>
        <v>0</v>
      </c>
    </row>
    <row r="29" spans="1:29" s="219" customFormat="1" ht="13" x14ac:dyDescent="0.3">
      <c r="A29" s="196"/>
      <c r="B29" s="196"/>
      <c r="C29" s="218"/>
      <c r="D29" s="218"/>
      <c r="E29" s="218"/>
      <c r="F29" s="218"/>
      <c r="G29" s="218"/>
      <c r="H29" s="218"/>
      <c r="I29" s="196"/>
      <c r="J29" s="196"/>
      <c r="K29" s="196"/>
      <c r="L29" s="196"/>
      <c r="M29" s="196"/>
      <c r="N29" s="196"/>
      <c r="O29" s="196"/>
      <c r="P29" s="196"/>
      <c r="Q29" s="196"/>
      <c r="R29" s="196"/>
      <c r="S29" s="196"/>
      <c r="T29" s="196"/>
      <c r="U29" s="196"/>
      <c r="V29" s="196"/>
      <c r="W29" s="196"/>
      <c r="X29" s="196"/>
      <c r="Y29" s="196"/>
      <c r="Z29" s="196"/>
      <c r="AA29" s="196"/>
      <c r="AB29" s="196"/>
      <c r="AC29" s="196"/>
    </row>
    <row r="30" spans="1:29" s="219" customFormat="1" ht="13" x14ac:dyDescent="0.3">
      <c r="A30" s="196"/>
      <c r="B30" s="196"/>
      <c r="C30" s="194" t="s">
        <v>56</v>
      </c>
      <c r="D30" s="218"/>
      <c r="E30" s="218"/>
      <c r="F30" s="218"/>
      <c r="G30" s="218"/>
      <c r="H30" s="218"/>
      <c r="I30" s="196"/>
      <c r="J30" s="196"/>
      <c r="K30" s="196"/>
      <c r="L30" s="196"/>
      <c r="M30" s="196"/>
      <c r="N30" s="196"/>
      <c r="O30" s="196"/>
      <c r="P30" s="196"/>
      <c r="Q30" s="196"/>
      <c r="R30" s="196"/>
      <c r="S30" s="196"/>
      <c r="T30" s="196"/>
      <c r="U30" s="196"/>
      <c r="V30" s="196"/>
      <c r="W30" s="196"/>
      <c r="X30" s="196"/>
      <c r="Y30" s="196"/>
      <c r="Z30" s="196"/>
      <c r="AA30" s="196"/>
      <c r="AB30" s="196"/>
      <c r="AC30" s="196"/>
    </row>
    <row r="31" spans="1:29" s="219" customFormat="1" ht="13" x14ac:dyDescent="0.3">
      <c r="A31" s="196"/>
      <c r="B31" s="196"/>
      <c r="C31" s="194" t="s">
        <v>57</v>
      </c>
      <c r="D31" s="218"/>
      <c r="E31" s="218"/>
      <c r="F31" s="218"/>
      <c r="G31" s="218"/>
      <c r="H31" s="218"/>
      <c r="I31" s="196"/>
      <c r="J31" s="196"/>
      <c r="K31" s="196"/>
      <c r="L31" s="196"/>
      <c r="M31" s="196"/>
      <c r="N31" s="196"/>
      <c r="O31" s="196"/>
      <c r="P31" s="196"/>
      <c r="Q31" s="196"/>
      <c r="R31" s="196"/>
      <c r="S31" s="196"/>
      <c r="T31" s="196"/>
      <c r="U31" s="196"/>
      <c r="V31" s="196"/>
      <c r="W31" s="196"/>
      <c r="X31" s="196"/>
      <c r="Y31" s="196"/>
      <c r="Z31" s="196"/>
      <c r="AA31" s="196"/>
      <c r="AB31" s="196"/>
      <c r="AC31" s="196"/>
    </row>
    <row r="32" spans="1:29" s="190" customFormat="1" ht="16.5" x14ac:dyDescent="0.35">
      <c r="A32" s="187"/>
      <c r="B32" s="187"/>
      <c r="C32" s="1029" t="s">
        <v>30</v>
      </c>
      <c r="D32" s="1030"/>
      <c r="E32" s="1030"/>
      <c r="F32" s="1030"/>
      <c r="G32" s="1030"/>
      <c r="H32" s="1031"/>
      <c r="I32" s="187"/>
      <c r="J32" s="200" t="s">
        <v>31</v>
      </c>
      <c r="K32" s="187"/>
      <c r="L32" s="200" t="s">
        <v>31</v>
      </c>
      <c r="M32" s="187"/>
      <c r="N32" s="187"/>
      <c r="O32" s="187"/>
      <c r="P32" s="187"/>
      <c r="Q32" s="187"/>
      <c r="R32" s="187"/>
      <c r="S32" s="187"/>
      <c r="T32" s="187"/>
      <c r="U32" s="187"/>
      <c r="V32" s="187"/>
      <c r="W32" s="187"/>
      <c r="X32" s="187"/>
      <c r="Y32" s="187"/>
      <c r="Z32" s="187"/>
      <c r="AA32" s="187"/>
      <c r="AB32" s="187"/>
      <c r="AC32" s="187"/>
    </row>
    <row r="33" spans="1:29" s="190" customFormat="1" x14ac:dyDescent="0.25">
      <c r="A33" s="187"/>
      <c r="B33" s="187"/>
      <c r="C33" s="202">
        <f t="shared" ref="C33:H33" si="4">C20</f>
        <v>2015</v>
      </c>
      <c r="D33" s="202">
        <f t="shared" si="4"/>
        <v>2016</v>
      </c>
      <c r="E33" s="202">
        <f t="shared" si="4"/>
        <v>2017</v>
      </c>
      <c r="F33" s="202">
        <f t="shared" si="4"/>
        <v>2018</v>
      </c>
      <c r="G33" s="202">
        <f t="shared" si="4"/>
        <v>2019</v>
      </c>
      <c r="H33" s="202">
        <f t="shared" si="4"/>
        <v>2020</v>
      </c>
      <c r="I33" s="187"/>
      <c r="J33" s="203" t="s">
        <v>34</v>
      </c>
      <c r="K33" s="187"/>
      <c r="L33" s="203" t="s">
        <v>35</v>
      </c>
      <c r="M33" s="187"/>
      <c r="N33" s="187"/>
      <c r="O33" s="187"/>
      <c r="P33" s="187"/>
      <c r="Q33" s="187"/>
      <c r="R33" s="187"/>
      <c r="S33" s="187"/>
      <c r="T33" s="187"/>
      <c r="U33" s="187"/>
      <c r="V33" s="187"/>
      <c r="W33" s="187"/>
      <c r="X33" s="187"/>
      <c r="Y33" s="187"/>
      <c r="Z33" s="187"/>
      <c r="AA33" s="187"/>
      <c r="AB33" s="187"/>
      <c r="AC33" s="187"/>
    </row>
    <row r="34" spans="1:29" s="190" customFormat="1" ht="13" x14ac:dyDescent="0.3">
      <c r="A34" s="1032" t="s">
        <v>224</v>
      </c>
      <c r="B34" s="668">
        <f t="shared" ref="B34:B39" si="5">B21</f>
        <v>2015</v>
      </c>
      <c r="C34" s="221"/>
      <c r="D34" s="221"/>
      <c r="E34" s="221"/>
      <c r="F34" s="221"/>
      <c r="G34" s="221"/>
      <c r="H34" s="222"/>
      <c r="I34" s="207"/>
      <c r="J34" s="208">
        <f t="shared" ref="J34:J39" si="6">SUM(C34:H34)</f>
        <v>0</v>
      </c>
      <c r="K34" s="207"/>
      <c r="L34" s="223">
        <f t="shared" ref="L34:L39" si="7">SUM(J21,J34)</f>
        <v>0</v>
      </c>
      <c r="M34" s="187"/>
      <c r="N34" s="187"/>
      <c r="O34" s="187"/>
      <c r="P34" s="187"/>
      <c r="Q34" s="187"/>
      <c r="R34" s="187"/>
      <c r="S34" s="187"/>
      <c r="T34" s="187"/>
      <c r="U34" s="187"/>
      <c r="V34" s="187"/>
      <c r="W34" s="187"/>
      <c r="X34" s="187"/>
      <c r="Y34" s="187"/>
      <c r="Z34" s="187"/>
      <c r="AA34" s="187"/>
      <c r="AB34" s="187"/>
      <c r="AC34" s="187"/>
    </row>
    <row r="35" spans="1:29" s="190" customFormat="1" ht="13" x14ac:dyDescent="0.3">
      <c r="A35" s="1033"/>
      <c r="B35" s="220">
        <f t="shared" si="5"/>
        <v>2016</v>
      </c>
      <c r="C35" s="221"/>
      <c r="D35" s="221"/>
      <c r="E35" s="221"/>
      <c r="F35" s="221"/>
      <c r="G35" s="221"/>
      <c r="H35" s="224"/>
      <c r="I35" s="207"/>
      <c r="J35" s="208">
        <f t="shared" si="6"/>
        <v>0</v>
      </c>
      <c r="K35" s="207"/>
      <c r="L35" s="223">
        <f t="shared" si="7"/>
        <v>0</v>
      </c>
      <c r="M35" s="187"/>
      <c r="N35" s="187"/>
      <c r="O35" s="187"/>
      <c r="P35" s="187"/>
      <c r="Q35" s="187"/>
      <c r="R35" s="187"/>
      <c r="S35" s="187"/>
      <c r="T35" s="187"/>
      <c r="U35" s="187"/>
      <c r="V35" s="187"/>
      <c r="W35" s="187"/>
      <c r="X35" s="187"/>
      <c r="Y35" s="187"/>
      <c r="Z35" s="187"/>
      <c r="AA35" s="187"/>
      <c r="AB35" s="187"/>
      <c r="AC35" s="187"/>
    </row>
    <row r="36" spans="1:29" s="190" customFormat="1" ht="13" x14ac:dyDescent="0.3">
      <c r="A36" s="1033" t="s">
        <v>36</v>
      </c>
      <c r="B36" s="220">
        <f t="shared" si="5"/>
        <v>2017</v>
      </c>
      <c r="C36" s="469">
        <v>0</v>
      </c>
      <c r="D36" s="221"/>
      <c r="E36" s="221"/>
      <c r="F36" s="221"/>
      <c r="G36" s="221"/>
      <c r="H36" s="224"/>
      <c r="I36" s="207"/>
      <c r="J36" s="208">
        <f t="shared" si="6"/>
        <v>0</v>
      </c>
      <c r="K36" s="207"/>
      <c r="L36" s="223">
        <f t="shared" si="7"/>
        <v>0</v>
      </c>
      <c r="M36" s="187"/>
      <c r="N36" s="187"/>
      <c r="O36" s="187"/>
      <c r="P36" s="187"/>
      <c r="Q36" s="187"/>
      <c r="R36" s="187"/>
      <c r="S36" s="187"/>
      <c r="T36" s="187"/>
      <c r="U36" s="187"/>
      <c r="V36" s="187"/>
      <c r="W36" s="187"/>
      <c r="X36" s="187"/>
      <c r="Y36" s="187"/>
      <c r="Z36" s="187"/>
      <c r="AA36" s="187"/>
      <c r="AB36" s="187"/>
      <c r="AC36" s="187"/>
    </row>
    <row r="37" spans="1:29" s="190" customFormat="1" ht="13" x14ac:dyDescent="0.3">
      <c r="A37" s="1033"/>
      <c r="B37" s="220">
        <f t="shared" si="5"/>
        <v>2018</v>
      </c>
      <c r="C37" s="469">
        <v>0</v>
      </c>
      <c r="D37" s="469">
        <v>0</v>
      </c>
      <c r="E37" s="221"/>
      <c r="F37" s="221"/>
      <c r="G37" s="221"/>
      <c r="H37" s="224"/>
      <c r="I37" s="207"/>
      <c r="J37" s="208">
        <f t="shared" si="6"/>
        <v>0</v>
      </c>
      <c r="K37" s="207"/>
      <c r="L37" s="223">
        <f t="shared" si="7"/>
        <v>0</v>
      </c>
      <c r="M37" s="197" t="s">
        <v>38</v>
      </c>
      <c r="N37" s="187"/>
      <c r="O37" s="187"/>
      <c r="P37" s="187"/>
      <c r="Q37" s="187"/>
      <c r="R37" s="187"/>
      <c r="S37" s="187"/>
      <c r="T37" s="187"/>
      <c r="U37" s="187"/>
      <c r="V37" s="187"/>
      <c r="W37" s="187"/>
      <c r="X37" s="187"/>
      <c r="Y37" s="187"/>
      <c r="Z37" s="187"/>
      <c r="AA37" s="187"/>
      <c r="AB37" s="187"/>
      <c r="AC37" s="187"/>
    </row>
    <row r="38" spans="1:29" s="190" customFormat="1" ht="13" x14ac:dyDescent="0.3">
      <c r="A38" s="1033" t="s">
        <v>37</v>
      </c>
      <c r="B38" s="220">
        <f t="shared" si="5"/>
        <v>2019</v>
      </c>
      <c r="C38" s="469">
        <v>0</v>
      </c>
      <c r="D38" s="469">
        <v>0</v>
      </c>
      <c r="E38" s="469">
        <v>0</v>
      </c>
      <c r="F38" s="221"/>
      <c r="G38" s="221"/>
      <c r="H38" s="224"/>
      <c r="I38" s="207"/>
      <c r="J38" s="208">
        <f t="shared" si="6"/>
        <v>0</v>
      </c>
      <c r="K38" s="207"/>
      <c r="L38" s="223">
        <f t="shared" si="7"/>
        <v>0</v>
      </c>
      <c r="M38" s="197" t="s">
        <v>39</v>
      </c>
      <c r="N38" s="187"/>
      <c r="O38" s="187"/>
      <c r="P38" s="187"/>
      <c r="Q38" s="187"/>
      <c r="R38" s="187"/>
      <c r="S38" s="187"/>
      <c r="T38" s="187"/>
      <c r="U38" s="187"/>
      <c r="V38" s="187"/>
      <c r="W38" s="187"/>
      <c r="X38" s="187"/>
      <c r="Y38" s="187"/>
      <c r="Z38" s="187"/>
      <c r="AA38" s="187"/>
      <c r="AB38" s="187"/>
      <c r="AC38" s="187"/>
    </row>
    <row r="39" spans="1:29" s="190" customFormat="1" ht="13" x14ac:dyDescent="0.3">
      <c r="A39" s="1033"/>
      <c r="B39" s="220">
        <f t="shared" si="5"/>
        <v>2020</v>
      </c>
      <c r="C39" s="469">
        <v>0</v>
      </c>
      <c r="D39" s="469">
        <v>0</v>
      </c>
      <c r="E39" s="469">
        <v>0</v>
      </c>
      <c r="F39" s="469">
        <v>0</v>
      </c>
      <c r="G39" s="221"/>
      <c r="H39" s="224"/>
      <c r="I39" s="207"/>
      <c r="J39" s="208">
        <f t="shared" si="6"/>
        <v>0</v>
      </c>
      <c r="K39" s="207"/>
      <c r="L39" s="223">
        <f t="shared" si="7"/>
        <v>0</v>
      </c>
      <c r="M39" s="197"/>
      <c r="N39" s="187"/>
      <c r="O39" s="187"/>
      <c r="P39" s="187"/>
      <c r="Q39" s="187"/>
      <c r="R39" s="187"/>
      <c r="S39" s="187"/>
      <c r="T39" s="187"/>
      <c r="U39" s="187"/>
      <c r="V39" s="187"/>
      <c r="W39" s="187"/>
      <c r="X39" s="187"/>
      <c r="Y39" s="187"/>
      <c r="Z39" s="187"/>
      <c r="AA39" s="187"/>
      <c r="AB39" s="187"/>
      <c r="AC39" s="187"/>
    </row>
    <row r="40" spans="1:29" s="199" customFormat="1" ht="15.5" x14ac:dyDescent="0.35">
      <c r="A40" s="1034"/>
      <c r="B40" s="212" t="s">
        <v>33</v>
      </c>
      <c r="C40" s="225">
        <f t="shared" ref="C40:H40" si="8">SUM(C34:C39)</f>
        <v>0</v>
      </c>
      <c r="D40" s="225">
        <f t="shared" si="8"/>
        <v>0</v>
      </c>
      <c r="E40" s="225">
        <f t="shared" si="8"/>
        <v>0</v>
      </c>
      <c r="F40" s="225">
        <f>SUM(F34:F39)</f>
        <v>0</v>
      </c>
      <c r="G40" s="225">
        <f t="shared" si="8"/>
        <v>0</v>
      </c>
      <c r="H40" s="225">
        <f t="shared" si="8"/>
        <v>0</v>
      </c>
      <c r="I40" s="207"/>
      <c r="J40" s="216">
        <f>SUM(J34:J39)</f>
        <v>0</v>
      </c>
      <c r="K40" s="215"/>
      <c r="L40" s="216">
        <f>SUM(L34:L39)</f>
        <v>0</v>
      </c>
      <c r="M40" s="198"/>
      <c r="N40" s="198"/>
      <c r="O40" s="198"/>
      <c r="P40" s="198"/>
      <c r="Q40" s="198"/>
      <c r="R40" s="198"/>
      <c r="S40" s="198"/>
      <c r="T40" s="198"/>
      <c r="U40" s="198"/>
      <c r="V40" s="198"/>
      <c r="W40" s="198"/>
      <c r="X40" s="198"/>
      <c r="Y40" s="198"/>
      <c r="Z40" s="198"/>
      <c r="AA40" s="198"/>
      <c r="AB40" s="198"/>
      <c r="AC40" s="198"/>
    </row>
    <row r="41" spans="1:29" x14ac:dyDescent="0.25">
      <c r="I41" s="207"/>
    </row>
    <row r="43" spans="1:29" ht="13" thickBot="1" x14ac:dyDescent="0.3"/>
    <row r="44" spans="1:29" s="190" customFormat="1" ht="22.5" customHeight="1" thickBot="1" x14ac:dyDescent="0.3">
      <c r="A44" s="1037" t="s">
        <v>40</v>
      </c>
      <c r="B44" s="1038"/>
      <c r="C44" s="1038"/>
      <c r="D44" s="1038"/>
      <c r="E44" s="1038"/>
      <c r="F44" s="1038"/>
      <c r="G44" s="1038"/>
      <c r="H44" s="1038"/>
      <c r="I44" s="1038"/>
      <c r="J44" s="1039"/>
      <c r="L44" s="187"/>
      <c r="M44" s="187"/>
      <c r="N44" s="187"/>
      <c r="O44" s="187"/>
      <c r="P44" s="187"/>
      <c r="Q44" s="187"/>
      <c r="R44" s="187"/>
      <c r="S44" s="187"/>
      <c r="T44" s="187"/>
      <c r="U44" s="187"/>
      <c r="V44" s="187"/>
      <c r="W44" s="187"/>
      <c r="X44" s="187"/>
      <c r="Y44" s="187"/>
      <c r="Z44" s="187"/>
      <c r="AA44" s="187"/>
      <c r="AB44" s="187"/>
      <c r="AC44" s="187"/>
    </row>
    <row r="46" spans="1:29" ht="13" x14ac:dyDescent="0.3">
      <c r="C46" s="194" t="s">
        <v>342</v>
      </c>
    </row>
    <row r="47" spans="1:29" ht="13" x14ac:dyDescent="0.3">
      <c r="C47" s="194" t="s">
        <v>42</v>
      </c>
    </row>
    <row r="48" spans="1:29" ht="16.5" x14ac:dyDescent="0.35">
      <c r="C48" s="1023" t="s">
        <v>41</v>
      </c>
      <c r="D48" s="1024"/>
      <c r="E48" s="1024"/>
      <c r="F48" s="1024"/>
      <c r="G48" s="1024"/>
      <c r="H48" s="1025"/>
    </row>
    <row r="49" spans="1:10" x14ac:dyDescent="0.25">
      <c r="C49" s="202">
        <f t="shared" ref="C49:H49" si="9">C33</f>
        <v>2015</v>
      </c>
      <c r="D49" s="202">
        <f t="shared" si="9"/>
        <v>2016</v>
      </c>
      <c r="E49" s="202">
        <f t="shared" si="9"/>
        <v>2017</v>
      </c>
      <c r="F49" s="202">
        <f t="shared" si="9"/>
        <v>2018</v>
      </c>
      <c r="G49" s="202">
        <f t="shared" si="9"/>
        <v>2019</v>
      </c>
      <c r="H49" s="202">
        <f t="shared" si="9"/>
        <v>2020</v>
      </c>
      <c r="J49" s="226" t="s">
        <v>31</v>
      </c>
    </row>
    <row r="50" spans="1:10" x14ac:dyDescent="0.25">
      <c r="A50" s="1026" t="s">
        <v>191</v>
      </c>
      <c r="B50" s="674">
        <f t="shared" ref="B50:B55" si="10">B34</f>
        <v>2015</v>
      </c>
      <c r="C50" s="470">
        <f>+C21</f>
        <v>0</v>
      </c>
      <c r="D50" s="227"/>
      <c r="E50" s="221"/>
      <c r="F50" s="221"/>
      <c r="G50" s="221"/>
      <c r="H50" s="222"/>
      <c r="J50" s="228">
        <f t="shared" ref="J50:J55" si="11">SUM(C50:H50)</f>
        <v>0</v>
      </c>
    </row>
    <row r="51" spans="1:10" x14ac:dyDescent="0.25">
      <c r="A51" s="1027"/>
      <c r="B51" s="202">
        <f t="shared" si="10"/>
        <v>2016</v>
      </c>
      <c r="C51" s="470">
        <f>+C50+C35+C22</f>
        <v>0</v>
      </c>
      <c r="D51" s="470">
        <f>+D22</f>
        <v>0</v>
      </c>
      <c r="E51" s="229"/>
      <c r="F51" s="229"/>
      <c r="G51" s="229"/>
      <c r="H51" s="230"/>
      <c r="J51" s="228">
        <f t="shared" si="11"/>
        <v>0</v>
      </c>
    </row>
    <row r="52" spans="1:10" x14ac:dyDescent="0.25">
      <c r="A52" s="1027"/>
      <c r="B52" s="202">
        <f t="shared" si="10"/>
        <v>2017</v>
      </c>
      <c r="C52" s="470">
        <f>+C51+C36+C23</f>
        <v>0</v>
      </c>
      <c r="D52" s="470">
        <f>+D51+D36+D23</f>
        <v>0</v>
      </c>
      <c r="E52" s="470">
        <f>+E23</f>
        <v>0</v>
      </c>
      <c r="F52" s="229"/>
      <c r="G52" s="229"/>
      <c r="H52" s="230"/>
      <c r="J52" s="228">
        <f t="shared" si="11"/>
        <v>0</v>
      </c>
    </row>
    <row r="53" spans="1:10" x14ac:dyDescent="0.25">
      <c r="A53" s="1027"/>
      <c r="B53" s="202">
        <f t="shared" si="10"/>
        <v>2018</v>
      </c>
      <c r="C53" s="470">
        <f>+C52+C37+C24</f>
        <v>0</v>
      </c>
      <c r="D53" s="470">
        <f>+D52+D37+D24</f>
        <v>0</v>
      </c>
      <c r="E53" s="470">
        <f>+E52+E37+E24</f>
        <v>0</v>
      </c>
      <c r="F53" s="470">
        <f>+F24</f>
        <v>0</v>
      </c>
      <c r="G53" s="229"/>
      <c r="H53" s="230"/>
      <c r="J53" s="228">
        <f t="shared" si="11"/>
        <v>0</v>
      </c>
    </row>
    <row r="54" spans="1:10" x14ac:dyDescent="0.25">
      <c r="A54" s="1027"/>
      <c r="B54" s="202">
        <f t="shared" si="10"/>
        <v>2019</v>
      </c>
      <c r="C54" s="470">
        <f>+C53+C38+C25</f>
        <v>0</v>
      </c>
      <c r="D54" s="470">
        <f>+D53+D38+D25</f>
        <v>0</v>
      </c>
      <c r="E54" s="470">
        <f>+E53+E38+E25</f>
        <v>0</v>
      </c>
      <c r="F54" s="470">
        <f>+F53+F38+F25</f>
        <v>0</v>
      </c>
      <c r="G54" s="470">
        <f>+G25</f>
        <v>0</v>
      </c>
      <c r="H54" s="230"/>
      <c r="J54" s="228">
        <f t="shared" si="11"/>
        <v>0</v>
      </c>
    </row>
    <row r="55" spans="1:10" x14ac:dyDescent="0.25">
      <c r="A55" s="1028"/>
      <c r="B55" s="202">
        <f t="shared" si="10"/>
        <v>2020</v>
      </c>
      <c r="C55" s="470">
        <f>+C54+C39+C26</f>
        <v>0</v>
      </c>
      <c r="D55" s="470">
        <f>+D54+D39+D26</f>
        <v>0</v>
      </c>
      <c r="E55" s="470">
        <f>+E54+E39+E26</f>
        <v>0</v>
      </c>
      <c r="F55" s="470">
        <f>+F54+F39+F26</f>
        <v>0</v>
      </c>
      <c r="G55" s="470">
        <f>+G54+G39+G26</f>
        <v>0</v>
      </c>
      <c r="H55" s="470">
        <f>+H26</f>
        <v>0</v>
      </c>
      <c r="J55" s="228">
        <f t="shared" si="11"/>
        <v>0</v>
      </c>
    </row>
    <row r="56" spans="1:10" ht="13" x14ac:dyDescent="0.3">
      <c r="C56" s="194"/>
    </row>
    <row r="57" spans="1:10" ht="13" x14ac:dyDescent="0.3">
      <c r="C57" s="194"/>
    </row>
  </sheetData>
  <customSheetViews>
    <customSheetView guid="{C8C7977F-B6BF-432B-A1A7-559450D521AF}" scale="80">
      <selection activeCell="C25" sqref="C25"/>
      <pageMargins left="0.78740157480314965" right="0.78740157480314965" top="0.98425196850393704" bottom="0.98425196850393704" header="0.51181102362204722" footer="0.51181102362204722"/>
      <pageSetup paperSize="8" scale="70" orientation="landscape" r:id="rId1"/>
      <headerFooter alignWithMargins="0">
        <oddFooter>&amp;CPage &amp;P</oddFooter>
      </headerFooter>
    </customSheetView>
  </customSheetViews>
  <mergeCells count="15">
    <mergeCell ref="A4:J4"/>
    <mergeCell ref="C8:H8"/>
    <mergeCell ref="A15:J15"/>
    <mergeCell ref="K15:L15"/>
    <mergeCell ref="A1:J1"/>
    <mergeCell ref="C6:H6"/>
    <mergeCell ref="C7:H7"/>
    <mergeCell ref="C48:H48"/>
    <mergeCell ref="A50:A55"/>
    <mergeCell ref="C32:H32"/>
    <mergeCell ref="A34:A40"/>
    <mergeCell ref="C19:H19"/>
    <mergeCell ref="A20:B20"/>
    <mergeCell ref="A21:A27"/>
    <mergeCell ref="A44:J44"/>
  </mergeCells>
  <pageMargins left="0.78740157480314965" right="0.78740157480314965" top="0.98425196850393704" bottom="0.98425196850393704" header="0.51181102362204722" footer="0.51181102362204722"/>
  <pageSetup paperSize="8" scale="88" orientation="landscape" r:id="rId2"/>
  <headerFooter alignWithMargins="0">
    <oddFooter>&amp;CPage &amp;P</oddFooter>
  </headerFooter>
  <ignoredErrors>
    <ignoredError sqref="J33 L33" numberStoredAsText="1"/>
    <ignoredError sqref="J34:J39 C40:H40" formulaRange="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Blad16"/>
  <dimension ref="A1:R506"/>
  <sheetViews>
    <sheetView topLeftCell="A40" zoomScale="85" zoomScaleNormal="85" workbookViewId="0">
      <selection activeCell="B91" sqref="B91:E91"/>
    </sheetView>
  </sheetViews>
  <sheetFormatPr defaultColWidth="9.1796875" defaultRowHeight="12.5" x14ac:dyDescent="0.25"/>
  <cols>
    <col min="1" max="1" width="4.1796875" style="20" customWidth="1"/>
    <col min="2" max="2" width="9.1796875" style="20"/>
    <col min="3" max="3" width="19" style="20" customWidth="1"/>
    <col min="4" max="4" width="12.81640625" style="20" customWidth="1"/>
    <col min="5" max="5" width="24.26953125" style="20" customWidth="1"/>
    <col min="6" max="6" width="9.453125" style="20" customWidth="1"/>
    <col min="7" max="7" width="48.81640625" style="20" customWidth="1"/>
    <col min="8" max="9" width="41.81640625" style="20" customWidth="1"/>
    <col min="10" max="10" width="42" style="20" customWidth="1"/>
    <col min="11" max="12" width="43.453125" style="20" customWidth="1"/>
    <col min="13" max="13" width="2.1796875" style="394" customWidth="1"/>
    <col min="14" max="14" width="43.453125" style="20" customWidth="1"/>
    <col min="15" max="16384" width="9.1796875" style="20"/>
  </cols>
  <sheetData>
    <row r="1" spans="1:18" ht="25.5" customHeight="1" thickBot="1" x14ac:dyDescent="0.45">
      <c r="A1" s="990" t="s">
        <v>236</v>
      </c>
      <c r="B1" s="991"/>
      <c r="C1" s="991"/>
      <c r="D1" s="991"/>
      <c r="E1" s="991"/>
      <c r="F1" s="991"/>
      <c r="G1" s="991"/>
      <c r="H1" s="991"/>
      <c r="I1" s="991"/>
      <c r="J1" s="992"/>
      <c r="K1" s="380"/>
      <c r="L1" s="593" t="str">
        <f>+TITELBLAD!F18</f>
        <v>ex-ante</v>
      </c>
      <c r="M1" s="593"/>
      <c r="N1" s="593">
        <f>+TITELBLAD!G18</f>
        <v>0</v>
      </c>
      <c r="O1" s="106"/>
      <c r="P1" s="106"/>
      <c r="Q1" s="106"/>
      <c r="R1" s="106"/>
    </row>
    <row r="2" spans="1:18" ht="13" x14ac:dyDescent="0.3">
      <c r="B2" s="394" t="str">
        <f>+TITELBLAD!B18</f>
        <v>Rapportering over boekjaar:</v>
      </c>
      <c r="C2" s="394"/>
      <c r="D2" s="394">
        <f>+TITELBLAD!E18</f>
        <v>2019</v>
      </c>
      <c r="E2" s="394" t="str">
        <f>+TITELBLAD!F18</f>
        <v>ex-ante</v>
      </c>
      <c r="H2" s="194"/>
      <c r="I2" s="188"/>
      <c r="J2" s="188"/>
      <c r="K2" s="188"/>
      <c r="L2" s="491"/>
      <c r="N2" s="491"/>
    </row>
    <row r="3" spans="1:18" ht="13.5" thickBot="1" x14ac:dyDescent="0.35">
      <c r="B3" s="107" t="s">
        <v>26</v>
      </c>
      <c r="H3" s="194"/>
      <c r="I3" s="188"/>
      <c r="J3" s="188"/>
      <c r="K3" s="188"/>
      <c r="L3" s="491"/>
      <c r="N3" s="491"/>
    </row>
    <row r="4" spans="1:18" ht="13.5" thickBot="1" x14ac:dyDescent="0.35">
      <c r="B4" s="995" t="str">
        <f>+TITELBLAD!C7</f>
        <v>Naam distributienetbeheerder</v>
      </c>
      <c r="C4" s="996"/>
      <c r="D4" s="996"/>
      <c r="E4" s="997"/>
      <c r="H4" s="194"/>
      <c r="I4" s="188"/>
      <c r="J4" s="188"/>
      <c r="K4" s="188"/>
      <c r="L4" s="188"/>
      <c r="N4" s="188"/>
    </row>
    <row r="5" spans="1:18" ht="13" x14ac:dyDescent="0.3">
      <c r="H5" s="194"/>
      <c r="I5" s="188"/>
      <c r="J5" s="188"/>
      <c r="K5" s="188"/>
      <c r="L5" s="188"/>
      <c r="N5" s="188"/>
    </row>
    <row r="6" spans="1:18" ht="13.5" thickBot="1" x14ac:dyDescent="0.35">
      <c r="B6" s="107" t="s">
        <v>27</v>
      </c>
      <c r="H6" s="194"/>
      <c r="I6" s="188"/>
      <c r="J6" s="188"/>
      <c r="K6" s="188"/>
      <c r="L6" s="188"/>
      <c r="N6" s="188"/>
    </row>
    <row r="7" spans="1:18" ht="13.5" thickBot="1" x14ac:dyDescent="0.35">
      <c r="B7" s="998" t="str">
        <f>+TITELBLAD!C12</f>
        <v>elektriciteit</v>
      </c>
      <c r="C7" s="999"/>
      <c r="D7" s="999"/>
      <c r="E7" s="1000"/>
      <c r="H7" s="194"/>
      <c r="I7" s="188"/>
      <c r="J7" s="188"/>
      <c r="K7" s="188"/>
      <c r="L7" s="188"/>
      <c r="N7" s="188"/>
    </row>
    <row r="8" spans="1:18" ht="13" x14ac:dyDescent="0.3">
      <c r="H8" s="194"/>
      <c r="I8" s="188"/>
      <c r="J8" s="188"/>
      <c r="K8" s="188"/>
      <c r="L8" s="188"/>
      <c r="N8" s="188"/>
    </row>
    <row r="11" spans="1:18" ht="13" x14ac:dyDescent="0.3">
      <c r="G11" s="434" t="s">
        <v>67</v>
      </c>
      <c r="H11" s="383"/>
      <c r="I11" s="382"/>
    </row>
    <row r="12" spans="1:18" ht="13" x14ac:dyDescent="0.3">
      <c r="G12" s="197" t="s">
        <v>344</v>
      </c>
      <c r="H12" s="383"/>
      <c r="I12" s="382"/>
    </row>
    <row r="13" spans="1:18" s="48" customFormat="1" ht="60" customHeight="1" x14ac:dyDescent="0.25">
      <c r="B13" s="1060" t="s">
        <v>238</v>
      </c>
      <c r="C13" s="1061"/>
      <c r="D13" s="1061"/>
      <c r="E13" s="1062"/>
      <c r="F13" s="162"/>
      <c r="G13" s="675">
        <v>2015</v>
      </c>
      <c r="H13" s="675">
        <f>+G13+1</f>
        <v>2016</v>
      </c>
      <c r="I13" s="675">
        <f>+H13+1</f>
        <v>2017</v>
      </c>
      <c r="J13" s="675">
        <f>+I13+1</f>
        <v>2018</v>
      </c>
      <c r="K13" s="675">
        <f>+J13+1</f>
        <v>2019</v>
      </c>
      <c r="L13" s="675">
        <f>+K13+1</f>
        <v>2020</v>
      </c>
      <c r="M13" s="483"/>
      <c r="N13" s="675" t="s">
        <v>31</v>
      </c>
    </row>
    <row r="14" spans="1:18" s="130" customFormat="1" ht="12" customHeight="1" x14ac:dyDescent="0.25">
      <c r="B14" s="384"/>
      <c r="C14" s="384"/>
      <c r="D14" s="384"/>
      <c r="E14" s="384"/>
      <c r="F14" s="385"/>
      <c r="G14" s="386"/>
      <c r="H14" s="387"/>
      <c r="I14" s="387"/>
      <c r="M14" s="846"/>
    </row>
    <row r="15" spans="1:18" s="685" customFormat="1" ht="28.5" customHeight="1" x14ac:dyDescent="0.25">
      <c r="B15" s="1081" t="s">
        <v>131</v>
      </c>
      <c r="C15" s="1081"/>
      <c r="D15" s="1081"/>
      <c r="E15" s="1081"/>
      <c r="F15" s="688"/>
      <c r="G15" s="689">
        <v>0</v>
      </c>
      <c r="H15" s="689">
        <v>0</v>
      </c>
      <c r="I15" s="689">
        <v>0</v>
      </c>
      <c r="J15" s="689">
        <v>0</v>
      </c>
      <c r="K15" s="689">
        <v>0</v>
      </c>
      <c r="L15" s="689">
        <v>0</v>
      </c>
      <c r="M15" s="847"/>
      <c r="N15" s="842">
        <f>SUM(G15:L15)</f>
        <v>0</v>
      </c>
    </row>
    <row r="16" spans="1:18" s="685" customFormat="1" ht="26.25" customHeight="1" x14ac:dyDescent="0.25">
      <c r="B16" s="1081" t="s">
        <v>132</v>
      </c>
      <c r="C16" s="1081"/>
      <c r="D16" s="1081"/>
      <c r="E16" s="1081"/>
      <c r="F16" s="688"/>
      <c r="G16" s="689">
        <v>0</v>
      </c>
      <c r="H16" s="689">
        <v>0</v>
      </c>
      <c r="I16" s="689">
        <v>0</v>
      </c>
      <c r="J16" s="689">
        <v>0</v>
      </c>
      <c r="K16" s="689">
        <v>0</v>
      </c>
      <c r="L16" s="689">
        <v>0</v>
      </c>
      <c r="M16" s="847"/>
      <c r="N16" s="842">
        <f t="shared" ref="N16:N22" si="0">SUM(G16:L16)</f>
        <v>0</v>
      </c>
    </row>
    <row r="17" spans="2:14" s="685" customFormat="1" ht="27.75" customHeight="1" x14ac:dyDescent="0.25">
      <c r="B17" s="1081" t="s">
        <v>138</v>
      </c>
      <c r="C17" s="1081"/>
      <c r="D17" s="1081"/>
      <c r="E17" s="1081"/>
      <c r="F17" s="688"/>
      <c r="G17" s="689">
        <v>0</v>
      </c>
      <c r="H17" s="689">
        <v>0</v>
      </c>
      <c r="I17" s="689">
        <v>0</v>
      </c>
      <c r="J17" s="689">
        <v>0</v>
      </c>
      <c r="K17" s="689">
        <v>0</v>
      </c>
      <c r="L17" s="689">
        <v>0</v>
      </c>
      <c r="M17" s="847"/>
      <c r="N17" s="842">
        <f t="shared" si="0"/>
        <v>0</v>
      </c>
    </row>
    <row r="18" spans="2:14" s="685" customFormat="1" ht="24.75" customHeight="1" x14ac:dyDescent="0.25">
      <c r="B18" s="1081" t="s">
        <v>133</v>
      </c>
      <c r="C18" s="1081"/>
      <c r="D18" s="1081"/>
      <c r="E18" s="1081"/>
      <c r="F18" s="688"/>
      <c r="G18" s="689">
        <v>0</v>
      </c>
      <c r="H18" s="689">
        <v>0</v>
      </c>
      <c r="I18" s="689">
        <v>0</v>
      </c>
      <c r="J18" s="689">
        <v>0</v>
      </c>
      <c r="K18" s="689">
        <v>0</v>
      </c>
      <c r="L18" s="689">
        <v>0</v>
      </c>
      <c r="M18" s="847"/>
      <c r="N18" s="842">
        <f t="shared" si="0"/>
        <v>0</v>
      </c>
    </row>
    <row r="19" spans="2:14" s="685" customFormat="1" ht="27" customHeight="1" x14ac:dyDescent="0.25">
      <c r="B19" s="1081" t="s">
        <v>239</v>
      </c>
      <c r="C19" s="1081"/>
      <c r="D19" s="1081"/>
      <c r="E19" s="1081"/>
      <c r="F19" s="688"/>
      <c r="G19" s="894">
        <v>0</v>
      </c>
      <c r="H19" s="689">
        <v>0</v>
      </c>
      <c r="I19" s="689">
        <v>0</v>
      </c>
      <c r="J19" s="689">
        <v>0</v>
      </c>
      <c r="K19" s="689">
        <v>0</v>
      </c>
      <c r="L19" s="689">
        <v>0</v>
      </c>
      <c r="M19" s="847"/>
      <c r="N19" s="842">
        <f t="shared" si="0"/>
        <v>0</v>
      </c>
    </row>
    <row r="20" spans="2:14" s="685" customFormat="1" ht="18.75" customHeight="1" x14ac:dyDescent="0.25">
      <c r="B20" s="1081" t="s">
        <v>237</v>
      </c>
      <c r="C20" s="1081"/>
      <c r="D20" s="1081"/>
      <c r="E20" s="1081"/>
      <c r="F20" s="688"/>
      <c r="G20" s="689">
        <v>0</v>
      </c>
      <c r="H20" s="689">
        <v>0</v>
      </c>
      <c r="I20" s="689">
        <v>0</v>
      </c>
      <c r="J20" s="689">
        <v>0</v>
      </c>
      <c r="K20" s="689">
        <v>0</v>
      </c>
      <c r="L20" s="689">
        <v>0</v>
      </c>
      <c r="M20" s="847"/>
      <c r="N20" s="842">
        <f t="shared" si="0"/>
        <v>0</v>
      </c>
    </row>
    <row r="21" spans="2:14" s="685" customFormat="1" ht="32.25" customHeight="1" x14ac:dyDescent="0.25">
      <c r="B21" s="1081" t="s">
        <v>287</v>
      </c>
      <c r="C21" s="1081"/>
      <c r="D21" s="1081"/>
      <c r="E21" s="1081"/>
      <c r="F21" s="688"/>
      <c r="G21" s="689">
        <v>0</v>
      </c>
      <c r="H21" s="689">
        <v>0</v>
      </c>
      <c r="I21" s="689">
        <v>0</v>
      </c>
      <c r="J21" s="689">
        <v>0</v>
      </c>
      <c r="K21" s="689">
        <v>0</v>
      </c>
      <c r="L21" s="689">
        <v>0</v>
      </c>
      <c r="M21" s="847"/>
      <c r="N21" s="842">
        <f t="shared" si="0"/>
        <v>0</v>
      </c>
    </row>
    <row r="22" spans="2:14" s="685" customFormat="1" ht="28.5" customHeight="1" x14ac:dyDescent="0.25">
      <c r="B22" s="1082" t="s">
        <v>134</v>
      </c>
      <c r="C22" s="1083"/>
      <c r="D22" s="1083"/>
      <c r="E22" s="1084"/>
      <c r="F22" s="688"/>
      <c r="G22" s="689">
        <v>0</v>
      </c>
      <c r="H22" s="689">
        <v>0</v>
      </c>
      <c r="I22" s="689">
        <v>0</v>
      </c>
      <c r="J22" s="689">
        <v>0</v>
      </c>
      <c r="K22" s="689">
        <v>0</v>
      </c>
      <c r="L22" s="689">
        <v>0</v>
      </c>
      <c r="M22" s="847"/>
      <c r="N22" s="842">
        <f t="shared" si="0"/>
        <v>0</v>
      </c>
    </row>
    <row r="23" spans="2:14" ht="13" x14ac:dyDescent="0.25">
      <c r="B23" s="48"/>
      <c r="C23" s="48"/>
      <c r="D23" s="48"/>
      <c r="E23" s="48"/>
      <c r="F23" s="48"/>
      <c r="G23" s="678"/>
      <c r="H23" s="678"/>
      <c r="I23" s="678"/>
      <c r="J23" s="678"/>
      <c r="K23" s="678"/>
      <c r="L23" s="678"/>
      <c r="N23" s="843"/>
    </row>
    <row r="24" spans="2:14" s="685" customFormat="1" ht="23.25" customHeight="1" x14ac:dyDescent="0.25">
      <c r="B24" s="1071" t="s">
        <v>33</v>
      </c>
      <c r="C24" s="1072"/>
      <c r="D24" s="1072"/>
      <c r="E24" s="1073"/>
      <c r="F24" s="700"/>
      <c r="G24" s="701">
        <f t="shared" ref="G24:L24" si="1">SUM(G15:G22)</f>
        <v>0</v>
      </c>
      <c r="H24" s="701">
        <f t="shared" si="1"/>
        <v>0</v>
      </c>
      <c r="I24" s="701">
        <f t="shared" si="1"/>
        <v>0</v>
      </c>
      <c r="J24" s="701">
        <f t="shared" si="1"/>
        <v>0</v>
      </c>
      <c r="K24" s="701">
        <f t="shared" si="1"/>
        <v>0</v>
      </c>
      <c r="L24" s="701">
        <f t="shared" si="1"/>
        <v>0</v>
      </c>
      <c r="M24" s="847"/>
      <c r="N24" s="841">
        <f>SUM(G24:L24)</f>
        <v>0</v>
      </c>
    </row>
    <row r="25" spans="2:14" ht="13" x14ac:dyDescent="0.25">
      <c r="B25" s="1066" t="s">
        <v>242</v>
      </c>
      <c r="C25" s="1066"/>
      <c r="D25" s="1066"/>
      <c r="E25" s="1066"/>
      <c r="F25" s="691"/>
      <c r="G25" s="692">
        <f>+G24-T4A!C27</f>
        <v>0</v>
      </c>
      <c r="H25" s="692">
        <f>+H24-T4A!D27</f>
        <v>0</v>
      </c>
      <c r="I25" s="692">
        <f>+I24-T4A!E27</f>
        <v>0</v>
      </c>
      <c r="J25" s="692">
        <f>+J24-T4A!F27</f>
        <v>0</v>
      </c>
      <c r="K25" s="693">
        <f>+K24-T4A!G27</f>
        <v>0</v>
      </c>
      <c r="L25" s="693">
        <f>+L24-T4A!H27</f>
        <v>0</v>
      </c>
      <c r="N25" s="693">
        <f>+N24-T4A!J27</f>
        <v>0</v>
      </c>
    </row>
    <row r="26" spans="2:14" ht="13" x14ac:dyDescent="0.25">
      <c r="B26" s="437"/>
      <c r="C26" s="437"/>
      <c r="D26" s="437"/>
      <c r="E26" s="437"/>
      <c r="F26" s="438"/>
      <c r="G26" s="439"/>
      <c r="H26" s="439"/>
      <c r="I26" s="439"/>
      <c r="J26" s="439"/>
      <c r="K26" s="48"/>
      <c r="L26" s="48"/>
      <c r="N26" s="48"/>
    </row>
    <row r="27" spans="2:14" ht="13" x14ac:dyDescent="0.3">
      <c r="G27" s="435" t="s">
        <v>56</v>
      </c>
      <c r="H27" s="680"/>
    </row>
    <row r="28" spans="2:14" ht="13" x14ac:dyDescent="0.3">
      <c r="G28" s="435" t="s">
        <v>57</v>
      </c>
      <c r="H28" s="680"/>
    </row>
    <row r="29" spans="2:14" s="48" customFormat="1" ht="60" customHeight="1" x14ac:dyDescent="0.25">
      <c r="B29" s="1060" t="s">
        <v>240</v>
      </c>
      <c r="C29" s="1061"/>
      <c r="D29" s="1061"/>
      <c r="E29" s="1062"/>
      <c r="F29" s="162"/>
      <c r="G29" s="675">
        <v>2015</v>
      </c>
      <c r="H29" s="675">
        <f>+G29+1</f>
        <v>2016</v>
      </c>
      <c r="I29" s="675">
        <f>+H29+1</f>
        <v>2017</v>
      </c>
      <c r="J29" s="675">
        <f>+I29+1</f>
        <v>2018</v>
      </c>
      <c r="K29" s="675">
        <f>+J29+1</f>
        <v>2019</v>
      </c>
      <c r="L29" s="675">
        <f>+K29+1</f>
        <v>2020</v>
      </c>
      <c r="M29" s="483"/>
      <c r="N29" s="675" t="s">
        <v>31</v>
      </c>
    </row>
    <row r="30" spans="2:14" s="130" customFormat="1" ht="12" customHeight="1" x14ac:dyDescent="0.25">
      <c r="B30" s="384"/>
      <c r="C30" s="384"/>
      <c r="D30" s="384"/>
      <c r="E30" s="384"/>
      <c r="F30" s="385"/>
      <c r="G30" s="386"/>
      <c r="H30" s="387"/>
      <c r="I30" s="387"/>
      <c r="M30" s="846"/>
    </row>
    <row r="31" spans="2:14" ht="36" customHeight="1" x14ac:dyDescent="0.25">
      <c r="B31" s="1077" t="s">
        <v>131</v>
      </c>
      <c r="C31" s="1078"/>
      <c r="D31" s="1078"/>
      <c r="E31" s="1079"/>
      <c r="F31" s="162"/>
      <c r="G31" s="686"/>
      <c r="H31" s="686"/>
      <c r="I31" s="686"/>
      <c r="J31" s="686"/>
      <c r="K31" s="686"/>
      <c r="L31" s="686"/>
      <c r="N31" s="686"/>
    </row>
    <row r="32" spans="2:14" ht="28.5" customHeight="1" x14ac:dyDescent="0.25">
      <c r="B32" s="1068" t="str">
        <f>"per 31/12/"&amp;$G$13</f>
        <v>per 31/12/2015</v>
      </c>
      <c r="C32" s="1069"/>
      <c r="D32" s="1069"/>
      <c r="E32" s="1070"/>
      <c r="F32" s="162"/>
      <c r="G32" s="684"/>
      <c r="H32" s="684"/>
      <c r="I32" s="684"/>
      <c r="J32" s="684"/>
      <c r="K32" s="684"/>
      <c r="L32" s="684"/>
      <c r="N32" s="679">
        <f t="shared" ref="N32:N37" si="2">SUM(G32:L32)</f>
        <v>0</v>
      </c>
    </row>
    <row r="33" spans="2:14" ht="28.5" customHeight="1" x14ac:dyDescent="0.25">
      <c r="B33" s="1068" t="str">
        <f>"per 31/12/"&amp;$H$13</f>
        <v>per 31/12/2016</v>
      </c>
      <c r="C33" s="1069"/>
      <c r="D33" s="1069"/>
      <c r="E33" s="1070"/>
      <c r="F33" s="162"/>
      <c r="G33" s="684"/>
      <c r="H33" s="684"/>
      <c r="I33" s="684"/>
      <c r="J33" s="684"/>
      <c r="K33" s="684"/>
      <c r="L33" s="684"/>
      <c r="N33" s="679">
        <f t="shared" si="2"/>
        <v>0</v>
      </c>
    </row>
    <row r="34" spans="2:14" ht="28.5" customHeight="1" x14ac:dyDescent="0.25">
      <c r="B34" s="1068" t="str">
        <f>"per 31/12/"&amp;$I$13</f>
        <v>per 31/12/2017</v>
      </c>
      <c r="C34" s="1069"/>
      <c r="D34" s="1069"/>
      <c r="E34" s="1070"/>
      <c r="F34" s="162"/>
      <c r="G34" s="684">
        <f>J192</f>
        <v>0</v>
      </c>
      <c r="H34" s="684"/>
      <c r="I34" s="684"/>
      <c r="J34" s="684"/>
      <c r="K34" s="684"/>
      <c r="L34" s="684"/>
      <c r="N34" s="679">
        <f t="shared" si="2"/>
        <v>0</v>
      </c>
    </row>
    <row r="35" spans="2:14" ht="28.5" customHeight="1" x14ac:dyDescent="0.25">
      <c r="B35" s="1068" t="str">
        <f>"per 31/12/"&amp;$J$13</f>
        <v>per 31/12/2018</v>
      </c>
      <c r="C35" s="1069"/>
      <c r="D35" s="1069"/>
      <c r="E35" s="1070"/>
      <c r="F35" s="162"/>
      <c r="G35" s="684">
        <f>L197</f>
        <v>0</v>
      </c>
      <c r="H35" s="684">
        <f>L198</f>
        <v>0</v>
      </c>
      <c r="I35" s="684"/>
      <c r="J35" s="684"/>
      <c r="K35" s="684"/>
      <c r="L35" s="684"/>
      <c r="N35" s="679">
        <f t="shared" si="2"/>
        <v>0</v>
      </c>
    </row>
    <row r="36" spans="2:14" ht="28.5" customHeight="1" x14ac:dyDescent="0.25">
      <c r="B36" s="1068" t="str">
        <f>"per 31/12/"&amp;$K$13</f>
        <v>per 31/12/2019</v>
      </c>
      <c r="C36" s="1069"/>
      <c r="D36" s="1069"/>
      <c r="E36" s="1070"/>
      <c r="F36" s="162"/>
      <c r="G36" s="684">
        <f>L204</f>
        <v>0</v>
      </c>
      <c r="H36" s="684">
        <f>L205</f>
        <v>0</v>
      </c>
      <c r="I36" s="684">
        <f>L206</f>
        <v>0</v>
      </c>
      <c r="J36" s="684"/>
      <c r="K36" s="684"/>
      <c r="L36" s="684"/>
      <c r="N36" s="679">
        <f t="shared" si="2"/>
        <v>0</v>
      </c>
    </row>
    <row r="37" spans="2:14" ht="28.5" customHeight="1" x14ac:dyDescent="0.25">
      <c r="B37" s="1068" t="str">
        <f>"per 31/12/"&amp;$L$13</f>
        <v>per 31/12/2020</v>
      </c>
      <c r="C37" s="1069"/>
      <c r="D37" s="1069"/>
      <c r="E37" s="1070"/>
      <c r="F37" s="162"/>
      <c r="G37" s="684">
        <f>L212</f>
        <v>0</v>
      </c>
      <c r="H37" s="684">
        <f>L213</f>
        <v>0</v>
      </c>
      <c r="I37" s="684">
        <f>L214</f>
        <v>0</v>
      </c>
      <c r="J37" s="684">
        <f>L215</f>
        <v>0</v>
      </c>
      <c r="K37" s="684"/>
      <c r="L37" s="684"/>
      <c r="N37" s="679">
        <f t="shared" si="2"/>
        <v>0</v>
      </c>
    </row>
    <row r="38" spans="2:14" ht="27.75" customHeight="1" x14ac:dyDescent="0.25">
      <c r="B38" s="1077" t="s">
        <v>132</v>
      </c>
      <c r="C38" s="1078"/>
      <c r="D38" s="1078"/>
      <c r="E38" s="1079"/>
      <c r="F38" s="162"/>
      <c r="G38" s="686"/>
      <c r="H38" s="686"/>
      <c r="I38" s="686"/>
      <c r="J38" s="686"/>
      <c r="K38" s="686"/>
      <c r="L38" s="686"/>
      <c r="N38" s="686"/>
    </row>
    <row r="39" spans="2:14" ht="28.5" customHeight="1" x14ac:dyDescent="0.25">
      <c r="B39" s="1068" t="str">
        <f>"per 31/12/"&amp;$G$13</f>
        <v>per 31/12/2015</v>
      </c>
      <c r="C39" s="1069"/>
      <c r="D39" s="1069"/>
      <c r="E39" s="1070"/>
      <c r="F39" s="162"/>
      <c r="G39" s="684"/>
      <c r="H39" s="684"/>
      <c r="I39" s="684"/>
      <c r="J39" s="684"/>
      <c r="K39" s="684"/>
      <c r="L39" s="684"/>
      <c r="N39" s="679">
        <f t="shared" ref="N39:N44" si="3">SUM(G39:L39)</f>
        <v>0</v>
      </c>
    </row>
    <row r="40" spans="2:14" ht="28.5" customHeight="1" x14ac:dyDescent="0.25">
      <c r="B40" s="1068" t="str">
        <f>"per 31/12/"&amp;$H$13</f>
        <v>per 31/12/2016</v>
      </c>
      <c r="C40" s="1069"/>
      <c r="D40" s="1069"/>
      <c r="E40" s="1070"/>
      <c r="F40" s="162"/>
      <c r="G40" s="684"/>
      <c r="H40" s="684"/>
      <c r="I40" s="684"/>
      <c r="J40" s="684"/>
      <c r="K40" s="684"/>
      <c r="L40" s="684"/>
      <c r="N40" s="679">
        <f t="shared" si="3"/>
        <v>0</v>
      </c>
    </row>
    <row r="41" spans="2:14" ht="28.5" customHeight="1" x14ac:dyDescent="0.25">
      <c r="B41" s="1068" t="str">
        <f>"per 31/12/"&amp;$I$13</f>
        <v>per 31/12/2017</v>
      </c>
      <c r="C41" s="1069"/>
      <c r="D41" s="1069"/>
      <c r="E41" s="1070"/>
      <c r="F41" s="162"/>
      <c r="G41" s="684">
        <f>J232</f>
        <v>0</v>
      </c>
      <c r="H41" s="684"/>
      <c r="I41" s="684"/>
      <c r="J41" s="684"/>
      <c r="K41" s="684"/>
      <c r="L41" s="684"/>
      <c r="N41" s="679">
        <f t="shared" si="3"/>
        <v>0</v>
      </c>
    </row>
    <row r="42" spans="2:14" ht="28.5" customHeight="1" x14ac:dyDescent="0.25">
      <c r="B42" s="1068" t="str">
        <f>"per 31/12/"&amp;$J$13</f>
        <v>per 31/12/2018</v>
      </c>
      <c r="C42" s="1069"/>
      <c r="D42" s="1069"/>
      <c r="E42" s="1070"/>
      <c r="F42" s="162"/>
      <c r="G42" s="684">
        <f>L237</f>
        <v>0</v>
      </c>
      <c r="H42" s="684">
        <f>L238</f>
        <v>0</v>
      </c>
      <c r="I42" s="684"/>
      <c r="J42" s="684"/>
      <c r="K42" s="684"/>
      <c r="L42" s="684"/>
      <c r="N42" s="679">
        <f t="shared" si="3"/>
        <v>0</v>
      </c>
    </row>
    <row r="43" spans="2:14" ht="28.5" customHeight="1" x14ac:dyDescent="0.25">
      <c r="B43" s="1068" t="str">
        <f>"per 31/12/"&amp;$K$13</f>
        <v>per 31/12/2019</v>
      </c>
      <c r="C43" s="1069"/>
      <c r="D43" s="1069"/>
      <c r="E43" s="1070"/>
      <c r="F43" s="162"/>
      <c r="G43" s="684">
        <f>L244</f>
        <v>0</v>
      </c>
      <c r="H43" s="684">
        <f>L245</f>
        <v>0</v>
      </c>
      <c r="I43" s="684">
        <f>L246</f>
        <v>0</v>
      </c>
      <c r="J43" s="684"/>
      <c r="K43" s="684"/>
      <c r="L43" s="684"/>
      <c r="N43" s="679">
        <f t="shared" si="3"/>
        <v>0</v>
      </c>
    </row>
    <row r="44" spans="2:14" ht="28.5" customHeight="1" x14ac:dyDescent="0.25">
      <c r="B44" s="1068" t="str">
        <f>"per 31/12/"&amp;$L$13</f>
        <v>per 31/12/2020</v>
      </c>
      <c r="C44" s="1069"/>
      <c r="D44" s="1069"/>
      <c r="E44" s="1070"/>
      <c r="F44" s="162"/>
      <c r="G44" s="684">
        <f>L252</f>
        <v>0</v>
      </c>
      <c r="H44" s="684">
        <f>L253</f>
        <v>0</v>
      </c>
      <c r="I44" s="684">
        <f>L254</f>
        <v>0</v>
      </c>
      <c r="J44" s="684">
        <f>L255</f>
        <v>0</v>
      </c>
      <c r="K44" s="684"/>
      <c r="L44" s="684"/>
      <c r="N44" s="679">
        <f t="shared" si="3"/>
        <v>0</v>
      </c>
    </row>
    <row r="45" spans="2:14" ht="30" customHeight="1" x14ac:dyDescent="0.25">
      <c r="B45" s="1077" t="s">
        <v>138</v>
      </c>
      <c r="C45" s="1078"/>
      <c r="D45" s="1078"/>
      <c r="E45" s="1079"/>
      <c r="F45" s="162"/>
      <c r="G45" s="686"/>
      <c r="H45" s="686"/>
      <c r="I45" s="686"/>
      <c r="J45" s="686"/>
      <c r="K45" s="686"/>
      <c r="L45" s="686"/>
      <c r="N45" s="686"/>
    </row>
    <row r="46" spans="2:14" ht="28.5" customHeight="1" x14ac:dyDescent="0.25">
      <c r="B46" s="1068" t="str">
        <f>"per 31/12/"&amp;$G$13</f>
        <v>per 31/12/2015</v>
      </c>
      <c r="C46" s="1069"/>
      <c r="D46" s="1069"/>
      <c r="E46" s="1070"/>
      <c r="F46" s="162"/>
      <c r="G46" s="684"/>
      <c r="H46" s="684"/>
      <c r="I46" s="684"/>
      <c r="J46" s="684"/>
      <c r="K46" s="684"/>
      <c r="L46" s="684"/>
      <c r="N46" s="679">
        <f t="shared" ref="N46:N51" si="4">SUM(G46:L46)</f>
        <v>0</v>
      </c>
    </row>
    <row r="47" spans="2:14" ht="28.5" customHeight="1" x14ac:dyDescent="0.25">
      <c r="B47" s="1068" t="str">
        <f>"per 31/12/"&amp;$H$13</f>
        <v>per 31/12/2016</v>
      </c>
      <c r="C47" s="1069"/>
      <c r="D47" s="1069"/>
      <c r="E47" s="1070"/>
      <c r="F47" s="162"/>
      <c r="G47" s="684"/>
      <c r="H47" s="684"/>
      <c r="I47" s="684"/>
      <c r="J47" s="684"/>
      <c r="K47" s="684"/>
      <c r="L47" s="684"/>
      <c r="N47" s="679">
        <f t="shared" si="4"/>
        <v>0</v>
      </c>
    </row>
    <row r="48" spans="2:14" ht="28.5" customHeight="1" x14ac:dyDescent="0.25">
      <c r="B48" s="1068" t="str">
        <f>"per 31/12/"&amp;$I$13</f>
        <v>per 31/12/2017</v>
      </c>
      <c r="C48" s="1069"/>
      <c r="D48" s="1069"/>
      <c r="E48" s="1070"/>
      <c r="F48" s="162"/>
      <c r="G48" s="684">
        <f>J272</f>
        <v>0</v>
      </c>
      <c r="H48" s="684"/>
      <c r="I48" s="684"/>
      <c r="J48" s="684"/>
      <c r="K48" s="684"/>
      <c r="L48" s="684"/>
      <c r="N48" s="679">
        <f t="shared" si="4"/>
        <v>0</v>
      </c>
    </row>
    <row r="49" spans="2:14" ht="28.5" customHeight="1" x14ac:dyDescent="0.25">
      <c r="B49" s="1068" t="str">
        <f>"per 31/12/"&amp;$J$13</f>
        <v>per 31/12/2018</v>
      </c>
      <c r="C49" s="1069"/>
      <c r="D49" s="1069"/>
      <c r="E49" s="1070"/>
      <c r="F49" s="162"/>
      <c r="G49" s="684">
        <f>L277</f>
        <v>0</v>
      </c>
      <c r="H49" s="909">
        <f>L278</f>
        <v>0</v>
      </c>
      <c r="I49" s="684"/>
      <c r="J49" s="684"/>
      <c r="K49" s="684"/>
      <c r="L49" s="684"/>
      <c r="N49" s="679">
        <f t="shared" si="4"/>
        <v>0</v>
      </c>
    </row>
    <row r="50" spans="2:14" ht="28.5" customHeight="1" x14ac:dyDescent="0.25">
      <c r="B50" s="1068" t="str">
        <f>"per 31/12/"&amp;$K$13</f>
        <v>per 31/12/2019</v>
      </c>
      <c r="C50" s="1069"/>
      <c r="D50" s="1069"/>
      <c r="E50" s="1070"/>
      <c r="F50" s="162"/>
      <c r="G50" s="684">
        <f>L284</f>
        <v>0</v>
      </c>
      <c r="H50" s="684">
        <f>L285</f>
        <v>0</v>
      </c>
      <c r="I50" s="684">
        <f>L286</f>
        <v>0</v>
      </c>
      <c r="J50" s="684"/>
      <c r="K50" s="684"/>
      <c r="L50" s="684"/>
      <c r="N50" s="679">
        <f t="shared" si="4"/>
        <v>0</v>
      </c>
    </row>
    <row r="51" spans="2:14" ht="28.5" customHeight="1" x14ac:dyDescent="0.25">
      <c r="B51" s="1068" t="str">
        <f>"per 31/12/"&amp;$L$13</f>
        <v>per 31/12/2020</v>
      </c>
      <c r="C51" s="1069"/>
      <c r="D51" s="1069"/>
      <c r="E51" s="1070"/>
      <c r="F51" s="162"/>
      <c r="G51" s="684">
        <f>L292</f>
        <v>0</v>
      </c>
      <c r="H51" s="684">
        <f>L293</f>
        <v>0</v>
      </c>
      <c r="I51" s="684">
        <f>L294</f>
        <v>0</v>
      </c>
      <c r="J51" s="684">
        <f>L295</f>
        <v>0</v>
      </c>
      <c r="K51" s="684"/>
      <c r="L51" s="684"/>
      <c r="N51" s="679">
        <f t="shared" si="4"/>
        <v>0</v>
      </c>
    </row>
    <row r="52" spans="2:14" ht="30" customHeight="1" x14ac:dyDescent="0.25">
      <c r="B52" s="1077" t="s">
        <v>133</v>
      </c>
      <c r="C52" s="1078"/>
      <c r="D52" s="1078"/>
      <c r="E52" s="1079"/>
      <c r="F52" s="162"/>
      <c r="G52" s="686"/>
      <c r="H52" s="686"/>
      <c r="I52" s="686"/>
      <c r="J52" s="686"/>
      <c r="K52" s="686"/>
      <c r="L52" s="686"/>
      <c r="N52" s="686"/>
    </row>
    <row r="53" spans="2:14" ht="28.5" customHeight="1" x14ac:dyDescent="0.25">
      <c r="B53" s="1068" t="str">
        <f>"per 31/12/"&amp;$G$13</f>
        <v>per 31/12/2015</v>
      </c>
      <c r="C53" s="1069"/>
      <c r="D53" s="1069"/>
      <c r="E53" s="1070"/>
      <c r="F53" s="162"/>
      <c r="G53" s="684"/>
      <c r="H53" s="684"/>
      <c r="I53" s="684"/>
      <c r="J53" s="684"/>
      <c r="K53" s="684"/>
      <c r="L53" s="684"/>
      <c r="N53" s="679">
        <f t="shared" ref="N53:N58" si="5">SUM(G53:L53)</f>
        <v>0</v>
      </c>
    </row>
    <row r="54" spans="2:14" ht="28.5" customHeight="1" x14ac:dyDescent="0.25">
      <c r="B54" s="1068" t="str">
        <f>"per 31/12/"&amp;$H$13</f>
        <v>per 31/12/2016</v>
      </c>
      <c r="C54" s="1069"/>
      <c r="D54" s="1069"/>
      <c r="E54" s="1070"/>
      <c r="F54" s="162"/>
      <c r="G54" s="684"/>
      <c r="H54" s="684"/>
      <c r="I54" s="684"/>
      <c r="J54" s="684"/>
      <c r="K54" s="684"/>
      <c r="L54" s="684"/>
      <c r="N54" s="679">
        <f t="shared" si="5"/>
        <v>0</v>
      </c>
    </row>
    <row r="55" spans="2:14" ht="28.5" customHeight="1" x14ac:dyDescent="0.25">
      <c r="B55" s="1068" t="str">
        <f>"per 31/12/"&amp;$I$13</f>
        <v>per 31/12/2017</v>
      </c>
      <c r="C55" s="1069"/>
      <c r="D55" s="1069"/>
      <c r="E55" s="1070"/>
      <c r="F55" s="162"/>
      <c r="G55" s="684">
        <f>J312</f>
        <v>0</v>
      </c>
      <c r="H55" s="684"/>
      <c r="I55" s="684"/>
      <c r="J55" s="684"/>
      <c r="K55" s="684"/>
      <c r="L55" s="684"/>
      <c r="N55" s="679">
        <f t="shared" si="5"/>
        <v>0</v>
      </c>
    </row>
    <row r="56" spans="2:14" ht="28.5" customHeight="1" x14ac:dyDescent="0.25">
      <c r="B56" s="1068" t="str">
        <f>"per 31/12/"&amp;$J$13</f>
        <v>per 31/12/2018</v>
      </c>
      <c r="C56" s="1069"/>
      <c r="D56" s="1069"/>
      <c r="E56" s="1070"/>
      <c r="F56" s="162"/>
      <c r="G56" s="684">
        <f>L317</f>
        <v>0</v>
      </c>
      <c r="H56" s="684">
        <f>L318</f>
        <v>0</v>
      </c>
      <c r="I56" s="684"/>
      <c r="J56" s="684"/>
      <c r="K56" s="684"/>
      <c r="L56" s="684"/>
      <c r="N56" s="679">
        <f t="shared" si="5"/>
        <v>0</v>
      </c>
    </row>
    <row r="57" spans="2:14" ht="28.5" customHeight="1" x14ac:dyDescent="0.25">
      <c r="B57" s="1068" t="str">
        <f>"per 31/12/"&amp;$K$13</f>
        <v>per 31/12/2019</v>
      </c>
      <c r="C57" s="1069"/>
      <c r="D57" s="1069"/>
      <c r="E57" s="1070"/>
      <c r="F57" s="162"/>
      <c r="G57" s="684">
        <f>L324</f>
        <v>0</v>
      </c>
      <c r="H57" s="684">
        <f>L325</f>
        <v>0</v>
      </c>
      <c r="I57" s="684">
        <f>L326</f>
        <v>0</v>
      </c>
      <c r="J57" s="684"/>
      <c r="K57" s="684"/>
      <c r="L57" s="684"/>
      <c r="N57" s="679">
        <f t="shared" si="5"/>
        <v>0</v>
      </c>
    </row>
    <row r="58" spans="2:14" ht="28.5" customHeight="1" x14ac:dyDescent="0.25">
      <c r="B58" s="1068" t="str">
        <f>"per 31/12/"&amp;$L$13</f>
        <v>per 31/12/2020</v>
      </c>
      <c r="C58" s="1069"/>
      <c r="D58" s="1069"/>
      <c r="E58" s="1070"/>
      <c r="F58" s="162"/>
      <c r="G58" s="684">
        <f>L332</f>
        <v>0</v>
      </c>
      <c r="H58" s="684">
        <f>L333</f>
        <v>0</v>
      </c>
      <c r="I58" s="684">
        <f>L334</f>
        <v>0</v>
      </c>
      <c r="J58" s="684">
        <f>L335</f>
        <v>0</v>
      </c>
      <c r="K58" s="684"/>
      <c r="L58" s="684"/>
      <c r="N58" s="679">
        <f t="shared" si="5"/>
        <v>0</v>
      </c>
    </row>
    <row r="59" spans="2:14" s="685" customFormat="1" ht="33.75" customHeight="1" x14ac:dyDescent="0.25">
      <c r="B59" s="1085" t="s">
        <v>239</v>
      </c>
      <c r="C59" s="1085"/>
      <c r="D59" s="1085"/>
      <c r="E59" s="1085"/>
      <c r="F59" s="688"/>
      <c r="G59" s="686"/>
      <c r="H59" s="686"/>
      <c r="I59" s="686"/>
      <c r="J59" s="686"/>
      <c r="K59" s="686"/>
      <c r="L59" s="686"/>
      <c r="M59" s="847"/>
      <c r="N59" s="686"/>
    </row>
    <row r="60" spans="2:14" ht="28.5" customHeight="1" x14ac:dyDescent="0.25">
      <c r="B60" s="1068" t="str">
        <f>"per 31/12/"&amp;$G$13</f>
        <v>per 31/12/2015</v>
      </c>
      <c r="C60" s="1069"/>
      <c r="D60" s="1069"/>
      <c r="E60" s="1070"/>
      <c r="F60" s="162"/>
      <c r="G60" s="684"/>
      <c r="H60" s="684"/>
      <c r="I60" s="684"/>
      <c r="J60" s="684"/>
      <c r="K60" s="684"/>
      <c r="L60" s="684"/>
      <c r="N60" s="679">
        <f t="shared" ref="N60:N65" si="6">SUM(G60:L60)</f>
        <v>0</v>
      </c>
    </row>
    <row r="61" spans="2:14" ht="28.5" customHeight="1" x14ac:dyDescent="0.25">
      <c r="B61" s="1068" t="str">
        <f>"per 31/12/"&amp;$H$13</f>
        <v>per 31/12/2016</v>
      </c>
      <c r="C61" s="1069"/>
      <c r="D61" s="1069"/>
      <c r="E61" s="1070"/>
      <c r="F61" s="162"/>
      <c r="G61" s="684"/>
      <c r="H61" s="684"/>
      <c r="I61" s="684"/>
      <c r="J61" s="684"/>
      <c r="K61" s="684"/>
      <c r="L61" s="684"/>
      <c r="N61" s="679">
        <f t="shared" si="6"/>
        <v>0</v>
      </c>
    </row>
    <row r="62" spans="2:14" ht="28.5" customHeight="1" x14ac:dyDescent="0.25">
      <c r="B62" s="1068" t="str">
        <f>"per 31/12/"&amp;$I$13</f>
        <v>per 31/12/2017</v>
      </c>
      <c r="C62" s="1069"/>
      <c r="D62" s="1069"/>
      <c r="E62" s="1070"/>
      <c r="F62" s="162"/>
      <c r="G62" s="684">
        <f>J352</f>
        <v>0</v>
      </c>
      <c r="H62" s="684"/>
      <c r="I62" s="684"/>
      <c r="J62" s="684"/>
      <c r="K62" s="684"/>
      <c r="L62" s="684"/>
      <c r="N62" s="679">
        <f t="shared" si="6"/>
        <v>0</v>
      </c>
    </row>
    <row r="63" spans="2:14" ht="28.5" customHeight="1" x14ac:dyDescent="0.25">
      <c r="B63" s="1068" t="str">
        <f>"per 31/12/"&amp;$J$13</f>
        <v>per 31/12/2018</v>
      </c>
      <c r="C63" s="1069"/>
      <c r="D63" s="1069"/>
      <c r="E63" s="1070"/>
      <c r="F63" s="162"/>
      <c r="G63" s="684">
        <f>L357</f>
        <v>0</v>
      </c>
      <c r="H63" s="684">
        <f>L358</f>
        <v>0</v>
      </c>
      <c r="I63" s="684"/>
      <c r="J63" s="684"/>
      <c r="K63" s="684"/>
      <c r="L63" s="684"/>
      <c r="N63" s="679">
        <f t="shared" si="6"/>
        <v>0</v>
      </c>
    </row>
    <row r="64" spans="2:14" ht="28.5" customHeight="1" x14ac:dyDescent="0.25">
      <c r="B64" s="1068" t="str">
        <f>"per 31/12/"&amp;$K$13</f>
        <v>per 31/12/2019</v>
      </c>
      <c r="C64" s="1069"/>
      <c r="D64" s="1069"/>
      <c r="E64" s="1070"/>
      <c r="F64" s="162"/>
      <c r="G64" s="684">
        <f>L364</f>
        <v>0</v>
      </c>
      <c r="H64" s="684">
        <f>L365</f>
        <v>0</v>
      </c>
      <c r="I64" s="684">
        <f>L366</f>
        <v>0</v>
      </c>
      <c r="J64" s="684"/>
      <c r="K64" s="684"/>
      <c r="L64" s="684"/>
      <c r="N64" s="679">
        <f t="shared" si="6"/>
        <v>0</v>
      </c>
    </row>
    <row r="65" spans="2:14" ht="28.5" customHeight="1" x14ac:dyDescent="0.25">
      <c r="B65" s="1068" t="str">
        <f>"per 31/12/"&amp;$L$13</f>
        <v>per 31/12/2020</v>
      </c>
      <c r="C65" s="1069"/>
      <c r="D65" s="1069"/>
      <c r="E65" s="1070"/>
      <c r="F65" s="162"/>
      <c r="G65" s="684">
        <f>L372</f>
        <v>0</v>
      </c>
      <c r="H65" s="684">
        <f>L373</f>
        <v>0</v>
      </c>
      <c r="I65" s="684">
        <f>L374</f>
        <v>0</v>
      </c>
      <c r="J65" s="684">
        <f>L375</f>
        <v>0</v>
      </c>
      <c r="K65" s="684"/>
      <c r="L65" s="684"/>
      <c r="N65" s="679">
        <f t="shared" si="6"/>
        <v>0</v>
      </c>
    </row>
    <row r="66" spans="2:14" ht="26.25" customHeight="1" x14ac:dyDescent="0.25">
      <c r="B66" s="1077" t="s">
        <v>237</v>
      </c>
      <c r="C66" s="1078"/>
      <c r="D66" s="1078"/>
      <c r="E66" s="1079"/>
      <c r="F66" s="162"/>
      <c r="G66" s="686"/>
      <c r="H66" s="686"/>
      <c r="I66" s="686"/>
      <c r="J66" s="686"/>
      <c r="K66" s="686"/>
      <c r="L66" s="686"/>
      <c r="N66" s="686"/>
    </row>
    <row r="67" spans="2:14" ht="28.5" customHeight="1" x14ac:dyDescent="0.25">
      <c r="B67" s="1068" t="str">
        <f>"per 31/12/"&amp;$G$13</f>
        <v>per 31/12/2015</v>
      </c>
      <c r="C67" s="1069"/>
      <c r="D67" s="1069"/>
      <c r="E67" s="1070"/>
      <c r="F67" s="162"/>
      <c r="G67" s="684"/>
      <c r="H67" s="684"/>
      <c r="I67" s="684"/>
      <c r="J67" s="684"/>
      <c r="K67" s="684"/>
      <c r="L67" s="684"/>
      <c r="N67" s="679">
        <f t="shared" ref="N67:N72" si="7">SUM(G67:L67)</f>
        <v>0</v>
      </c>
    </row>
    <row r="68" spans="2:14" ht="28.5" customHeight="1" x14ac:dyDescent="0.25">
      <c r="B68" s="1068" t="str">
        <f>"per 31/12/"&amp;$H$13</f>
        <v>per 31/12/2016</v>
      </c>
      <c r="C68" s="1069"/>
      <c r="D68" s="1069"/>
      <c r="E68" s="1070"/>
      <c r="F68" s="162"/>
      <c r="G68" s="684"/>
      <c r="H68" s="684"/>
      <c r="I68" s="684"/>
      <c r="J68" s="684"/>
      <c r="K68" s="684"/>
      <c r="L68" s="684"/>
      <c r="N68" s="679">
        <f t="shared" si="7"/>
        <v>0</v>
      </c>
    </row>
    <row r="69" spans="2:14" ht="28.5" customHeight="1" x14ac:dyDescent="0.25">
      <c r="B69" s="1068" t="str">
        <f>"per 31/12/"&amp;$I$13</f>
        <v>per 31/12/2017</v>
      </c>
      <c r="C69" s="1069"/>
      <c r="D69" s="1069"/>
      <c r="E69" s="1070"/>
      <c r="F69" s="162"/>
      <c r="G69" s="684">
        <f>J392</f>
        <v>0</v>
      </c>
      <c r="H69" s="684"/>
      <c r="I69" s="684"/>
      <c r="J69" s="684"/>
      <c r="K69" s="684"/>
      <c r="L69" s="684"/>
      <c r="N69" s="679">
        <f t="shared" si="7"/>
        <v>0</v>
      </c>
    </row>
    <row r="70" spans="2:14" ht="28.5" customHeight="1" x14ac:dyDescent="0.25">
      <c r="B70" s="1068" t="str">
        <f>"per 31/12/"&amp;$J$13</f>
        <v>per 31/12/2018</v>
      </c>
      <c r="C70" s="1069"/>
      <c r="D70" s="1069"/>
      <c r="E70" s="1070"/>
      <c r="F70" s="162"/>
      <c r="G70" s="684">
        <f>L397</f>
        <v>0</v>
      </c>
      <c r="H70" s="684">
        <f>L398</f>
        <v>0</v>
      </c>
      <c r="I70" s="684"/>
      <c r="J70" s="684"/>
      <c r="K70" s="684"/>
      <c r="L70" s="684"/>
      <c r="N70" s="679">
        <f t="shared" si="7"/>
        <v>0</v>
      </c>
    </row>
    <row r="71" spans="2:14" ht="28.5" customHeight="1" x14ac:dyDescent="0.25">
      <c r="B71" s="1068" t="str">
        <f>"per 31/12/"&amp;$K$13</f>
        <v>per 31/12/2019</v>
      </c>
      <c r="C71" s="1069"/>
      <c r="D71" s="1069"/>
      <c r="E71" s="1070"/>
      <c r="F71" s="162"/>
      <c r="G71" s="684">
        <f>L404</f>
        <v>0</v>
      </c>
      <c r="H71" s="684">
        <f>L405</f>
        <v>0</v>
      </c>
      <c r="I71" s="684">
        <f>L406</f>
        <v>0</v>
      </c>
      <c r="J71" s="684"/>
      <c r="K71" s="684"/>
      <c r="L71" s="684"/>
      <c r="N71" s="679">
        <f t="shared" si="7"/>
        <v>0</v>
      </c>
    </row>
    <row r="72" spans="2:14" ht="28.5" customHeight="1" x14ac:dyDescent="0.25">
      <c r="B72" s="1068" t="str">
        <f>"per 31/12/"&amp;$L$13</f>
        <v>per 31/12/2020</v>
      </c>
      <c r="C72" s="1069"/>
      <c r="D72" s="1069"/>
      <c r="E72" s="1070"/>
      <c r="F72" s="162"/>
      <c r="G72" s="684">
        <f>L412</f>
        <v>0</v>
      </c>
      <c r="H72" s="684">
        <f>L413</f>
        <v>0</v>
      </c>
      <c r="I72" s="684">
        <f>L414</f>
        <v>0</v>
      </c>
      <c r="J72" s="684">
        <f>L415</f>
        <v>0</v>
      </c>
      <c r="K72" s="684"/>
      <c r="L72" s="684"/>
      <c r="N72" s="679">
        <f t="shared" si="7"/>
        <v>0</v>
      </c>
    </row>
    <row r="73" spans="2:14" ht="30" customHeight="1" x14ac:dyDescent="0.25">
      <c r="B73" s="1077" t="s">
        <v>287</v>
      </c>
      <c r="C73" s="1078"/>
      <c r="D73" s="1078"/>
      <c r="E73" s="1079"/>
      <c r="F73" s="162"/>
      <c r="G73" s="686"/>
      <c r="H73" s="686"/>
      <c r="I73" s="686"/>
      <c r="J73" s="686"/>
      <c r="K73" s="686"/>
      <c r="L73" s="686"/>
      <c r="N73" s="686"/>
    </row>
    <row r="74" spans="2:14" ht="28.5" customHeight="1" x14ac:dyDescent="0.25">
      <c r="B74" s="1068" t="str">
        <f>"per 31/12/"&amp;$G$13</f>
        <v>per 31/12/2015</v>
      </c>
      <c r="C74" s="1069"/>
      <c r="D74" s="1069"/>
      <c r="E74" s="1070"/>
      <c r="F74" s="162"/>
      <c r="G74" s="684"/>
      <c r="H74" s="684"/>
      <c r="I74" s="684"/>
      <c r="J74" s="684"/>
      <c r="K74" s="684"/>
      <c r="L74" s="684"/>
      <c r="N74" s="679">
        <f t="shared" ref="N74:N79" si="8">SUM(G74:L74)</f>
        <v>0</v>
      </c>
    </row>
    <row r="75" spans="2:14" ht="28.5" customHeight="1" x14ac:dyDescent="0.25">
      <c r="B75" s="1068" t="str">
        <f>"per 31/12/"&amp;$H$13</f>
        <v>per 31/12/2016</v>
      </c>
      <c r="C75" s="1069"/>
      <c r="D75" s="1069"/>
      <c r="E75" s="1070"/>
      <c r="F75" s="162"/>
      <c r="G75" s="684"/>
      <c r="H75" s="684"/>
      <c r="I75" s="684"/>
      <c r="J75" s="684"/>
      <c r="K75" s="684"/>
      <c r="L75" s="684"/>
      <c r="N75" s="679">
        <f t="shared" si="8"/>
        <v>0</v>
      </c>
    </row>
    <row r="76" spans="2:14" ht="28.5" customHeight="1" x14ac:dyDescent="0.25">
      <c r="B76" s="1068" t="str">
        <f>"per 31/12/"&amp;$I$13</f>
        <v>per 31/12/2017</v>
      </c>
      <c r="C76" s="1069"/>
      <c r="D76" s="1069"/>
      <c r="E76" s="1070"/>
      <c r="F76" s="162"/>
      <c r="G76" s="684">
        <f>J432</f>
        <v>0</v>
      </c>
      <c r="H76" s="684"/>
      <c r="I76" s="684"/>
      <c r="J76" s="684"/>
      <c r="K76" s="684"/>
      <c r="L76" s="684"/>
      <c r="N76" s="679">
        <f t="shared" si="8"/>
        <v>0</v>
      </c>
    </row>
    <row r="77" spans="2:14" ht="28.5" customHeight="1" x14ac:dyDescent="0.25">
      <c r="B77" s="1068" t="str">
        <f>"per 31/12/"&amp;$J$13</f>
        <v>per 31/12/2018</v>
      </c>
      <c r="C77" s="1069"/>
      <c r="D77" s="1069"/>
      <c r="E77" s="1070"/>
      <c r="F77" s="162"/>
      <c r="G77" s="684">
        <f>L437</f>
        <v>0</v>
      </c>
      <c r="H77" s="684">
        <f>L438</f>
        <v>0</v>
      </c>
      <c r="I77" s="684"/>
      <c r="J77" s="684"/>
      <c r="K77" s="684"/>
      <c r="L77" s="684"/>
      <c r="N77" s="679">
        <f t="shared" si="8"/>
        <v>0</v>
      </c>
    </row>
    <row r="78" spans="2:14" ht="28.5" customHeight="1" x14ac:dyDescent="0.25">
      <c r="B78" s="1068" t="str">
        <f>"per 31/12/"&amp;$K$13</f>
        <v>per 31/12/2019</v>
      </c>
      <c r="C78" s="1069"/>
      <c r="D78" s="1069"/>
      <c r="E78" s="1070"/>
      <c r="F78" s="162"/>
      <c r="G78" s="684">
        <f>L444</f>
        <v>0</v>
      </c>
      <c r="H78" s="684">
        <f>L445</f>
        <v>0</v>
      </c>
      <c r="I78" s="684">
        <f>L446</f>
        <v>0</v>
      </c>
      <c r="J78" s="684"/>
      <c r="K78" s="684"/>
      <c r="L78" s="684"/>
      <c r="N78" s="679">
        <f t="shared" si="8"/>
        <v>0</v>
      </c>
    </row>
    <row r="79" spans="2:14" ht="28.5" customHeight="1" x14ac:dyDescent="0.25">
      <c r="B79" s="1068" t="str">
        <f>"per 31/12/"&amp;$L$13</f>
        <v>per 31/12/2020</v>
      </c>
      <c r="C79" s="1069"/>
      <c r="D79" s="1069"/>
      <c r="E79" s="1070"/>
      <c r="F79" s="162"/>
      <c r="G79" s="684">
        <f>L452</f>
        <v>0</v>
      </c>
      <c r="H79" s="684">
        <f>L453</f>
        <v>0</v>
      </c>
      <c r="I79" s="684">
        <f>L454</f>
        <v>0</v>
      </c>
      <c r="J79" s="684">
        <f>L455</f>
        <v>0</v>
      </c>
      <c r="K79" s="684"/>
      <c r="L79" s="684"/>
      <c r="N79" s="679">
        <f t="shared" si="8"/>
        <v>0</v>
      </c>
    </row>
    <row r="80" spans="2:14" ht="33" customHeight="1" x14ac:dyDescent="0.25">
      <c r="B80" s="1074" t="s">
        <v>134</v>
      </c>
      <c r="C80" s="1075"/>
      <c r="D80" s="1075"/>
      <c r="E80" s="1076"/>
      <c r="F80" s="162"/>
      <c r="G80" s="686"/>
      <c r="H80" s="686"/>
      <c r="I80" s="686"/>
      <c r="J80" s="686"/>
      <c r="K80" s="686"/>
      <c r="L80" s="686"/>
      <c r="N80" s="686"/>
    </row>
    <row r="81" spans="1:14" ht="28.5" customHeight="1" x14ac:dyDescent="0.25">
      <c r="B81" s="1068" t="str">
        <f>"per 31/12/"&amp;$G$13</f>
        <v>per 31/12/2015</v>
      </c>
      <c r="C81" s="1069"/>
      <c r="D81" s="1069"/>
      <c r="E81" s="1070"/>
      <c r="F81" s="162"/>
      <c r="G81" s="684"/>
      <c r="H81" s="684"/>
      <c r="I81" s="684"/>
      <c r="J81" s="684"/>
      <c r="K81" s="684"/>
      <c r="L81" s="684"/>
      <c r="N81" s="679">
        <f t="shared" ref="N81:N86" si="9">SUM(G81:L81)</f>
        <v>0</v>
      </c>
    </row>
    <row r="82" spans="1:14" ht="28.5" customHeight="1" x14ac:dyDescent="0.25">
      <c r="B82" s="1068" t="str">
        <f>"per 31/12/"&amp;$H$13</f>
        <v>per 31/12/2016</v>
      </c>
      <c r="C82" s="1069"/>
      <c r="D82" s="1069"/>
      <c r="E82" s="1070"/>
      <c r="F82" s="162"/>
      <c r="G82" s="684"/>
      <c r="H82" s="684"/>
      <c r="I82" s="684"/>
      <c r="J82" s="684"/>
      <c r="K82" s="684"/>
      <c r="L82" s="684"/>
      <c r="N82" s="679">
        <f t="shared" si="9"/>
        <v>0</v>
      </c>
    </row>
    <row r="83" spans="1:14" ht="28.5" customHeight="1" x14ac:dyDescent="0.25">
      <c r="B83" s="1068" t="str">
        <f>"per 31/12/"&amp;$I$13</f>
        <v>per 31/12/2017</v>
      </c>
      <c r="C83" s="1069"/>
      <c r="D83" s="1069"/>
      <c r="E83" s="1070"/>
      <c r="F83" s="162"/>
      <c r="G83" s="684">
        <f>J472</f>
        <v>0</v>
      </c>
      <c r="H83" s="684"/>
      <c r="I83" s="684"/>
      <c r="J83" s="684"/>
      <c r="K83" s="684"/>
      <c r="L83" s="684"/>
      <c r="N83" s="679">
        <f t="shared" si="9"/>
        <v>0</v>
      </c>
    </row>
    <row r="84" spans="1:14" ht="28.5" customHeight="1" x14ac:dyDescent="0.25">
      <c r="B84" s="1068" t="str">
        <f>"per 31/12/"&amp;$J$13</f>
        <v>per 31/12/2018</v>
      </c>
      <c r="C84" s="1069"/>
      <c r="D84" s="1069"/>
      <c r="E84" s="1070"/>
      <c r="F84" s="162"/>
      <c r="G84" s="684">
        <f>L477</f>
        <v>0</v>
      </c>
      <c r="H84" s="684">
        <f>L478</f>
        <v>0</v>
      </c>
      <c r="I84" s="684"/>
      <c r="J84" s="684"/>
      <c r="K84" s="684"/>
      <c r="L84" s="684"/>
      <c r="N84" s="679">
        <f t="shared" si="9"/>
        <v>0</v>
      </c>
    </row>
    <row r="85" spans="1:14" ht="28.5" customHeight="1" x14ac:dyDescent="0.25">
      <c r="B85" s="1068" t="str">
        <f>"per 31/12/"&amp;$K$13</f>
        <v>per 31/12/2019</v>
      </c>
      <c r="C85" s="1069"/>
      <c r="D85" s="1069"/>
      <c r="E85" s="1070"/>
      <c r="F85" s="162"/>
      <c r="G85" s="684">
        <f>L484</f>
        <v>0</v>
      </c>
      <c r="H85" s="684">
        <f>L485</f>
        <v>0</v>
      </c>
      <c r="I85" s="684">
        <f>L486</f>
        <v>0</v>
      </c>
      <c r="J85" s="684"/>
      <c r="K85" s="684"/>
      <c r="L85" s="684"/>
      <c r="N85" s="679">
        <f t="shared" si="9"/>
        <v>0</v>
      </c>
    </row>
    <row r="86" spans="1:14" ht="28.5" customHeight="1" x14ac:dyDescent="0.25">
      <c r="B86" s="1068" t="str">
        <f>"per 31/12/"&amp;$L$13</f>
        <v>per 31/12/2020</v>
      </c>
      <c r="C86" s="1069"/>
      <c r="D86" s="1069"/>
      <c r="E86" s="1070"/>
      <c r="F86" s="162"/>
      <c r="G86" s="684">
        <f>L492</f>
        <v>0</v>
      </c>
      <c r="H86" s="684">
        <f>L493</f>
        <v>0</v>
      </c>
      <c r="I86" s="684">
        <f>L494</f>
        <v>0</v>
      </c>
      <c r="J86" s="684">
        <f>L495</f>
        <v>0</v>
      </c>
      <c r="K86" s="684"/>
      <c r="L86" s="684"/>
      <c r="N86" s="679">
        <f t="shared" si="9"/>
        <v>0</v>
      </c>
    </row>
    <row r="87" spans="1:14" x14ac:dyDescent="0.25">
      <c r="G87" s="680"/>
      <c r="H87" s="680"/>
      <c r="I87" s="680"/>
      <c r="J87" s="680"/>
      <c r="K87" s="680"/>
      <c r="L87" s="680"/>
      <c r="N87" s="680"/>
    </row>
    <row r="88" spans="1:14" s="381" customFormat="1" ht="13" x14ac:dyDescent="0.3">
      <c r="B88" s="1067"/>
      <c r="C88" s="1067"/>
      <c r="D88" s="1067"/>
      <c r="E88" s="1067"/>
      <c r="G88" s="694"/>
      <c r="H88" s="694"/>
      <c r="I88" s="694"/>
      <c r="J88" s="694"/>
      <c r="K88" s="694"/>
      <c r="L88" s="694"/>
      <c r="M88" s="848"/>
      <c r="N88" s="694"/>
    </row>
    <row r="89" spans="1:14" s="381" customFormat="1" ht="13" x14ac:dyDescent="0.3">
      <c r="B89" s="865"/>
      <c r="C89" s="862"/>
      <c r="D89" s="862"/>
      <c r="E89" s="863"/>
      <c r="F89" s="864"/>
      <c r="G89" s="857">
        <v>2015</v>
      </c>
      <c r="H89" s="675">
        <f>+G89+1</f>
        <v>2016</v>
      </c>
      <c r="I89" s="675">
        <f>+H89+1</f>
        <v>2017</v>
      </c>
      <c r="J89" s="675">
        <f>+I89+1</f>
        <v>2018</v>
      </c>
      <c r="K89" s="675">
        <f>+J89+1</f>
        <v>2019</v>
      </c>
      <c r="L89" s="675">
        <f>+K89+1</f>
        <v>2020</v>
      </c>
      <c r="M89" s="483"/>
      <c r="N89" s="675" t="s">
        <v>31</v>
      </c>
    </row>
    <row r="90" spans="1:14" s="612" customFormat="1" ht="26.25" customHeight="1" x14ac:dyDescent="0.25">
      <c r="B90" s="1071" t="s">
        <v>337</v>
      </c>
      <c r="C90" s="1072"/>
      <c r="D90" s="1072"/>
      <c r="E90" s="1073"/>
      <c r="F90" s="699"/>
      <c r="G90" s="696"/>
      <c r="H90" s="696"/>
      <c r="I90" s="696"/>
      <c r="J90" s="696"/>
      <c r="K90" s="696"/>
      <c r="L90" s="696"/>
      <c r="M90" s="849"/>
      <c r="N90" s="696"/>
    </row>
    <row r="91" spans="1:14" ht="28.5" customHeight="1" x14ac:dyDescent="0.25">
      <c r="A91" s="394">
        <v>2015</v>
      </c>
      <c r="B91" s="1063" t="str">
        <f>"per 31/12/"&amp;$G$13</f>
        <v>per 31/12/2015</v>
      </c>
      <c r="C91" s="1064"/>
      <c r="D91" s="1064"/>
      <c r="E91" s="1065"/>
      <c r="F91" s="697"/>
      <c r="G91" s="698"/>
      <c r="H91" s="698"/>
      <c r="I91" s="698"/>
      <c r="J91" s="698"/>
      <c r="K91" s="698"/>
      <c r="L91" s="698"/>
      <c r="N91" s="844">
        <f t="shared" ref="N91:N96" si="10">SUM(N32,N39,N46,N53,N60,N67,N74,N81)</f>
        <v>0</v>
      </c>
    </row>
    <row r="92" spans="1:14" ht="28.5" customHeight="1" x14ac:dyDescent="0.25">
      <c r="A92" s="394">
        <v>2016</v>
      </c>
      <c r="B92" s="1063" t="str">
        <f>"per 31/12/"&amp;$H$13</f>
        <v>per 31/12/2016</v>
      </c>
      <c r="C92" s="1064"/>
      <c r="D92" s="1064"/>
      <c r="E92" s="1065"/>
      <c r="F92" s="697"/>
      <c r="G92" s="698"/>
      <c r="H92" s="698"/>
      <c r="I92" s="698"/>
      <c r="J92" s="698"/>
      <c r="K92" s="698"/>
      <c r="L92" s="698"/>
      <c r="N92" s="844">
        <f t="shared" si="10"/>
        <v>0</v>
      </c>
    </row>
    <row r="93" spans="1:14" ht="28.5" customHeight="1" x14ac:dyDescent="0.25">
      <c r="A93" s="394">
        <v>2017</v>
      </c>
      <c r="B93" s="1063" t="str">
        <f>"per 31/12/"&amp;$I$13</f>
        <v>per 31/12/2017</v>
      </c>
      <c r="C93" s="1064"/>
      <c r="D93" s="1064"/>
      <c r="E93" s="1065"/>
      <c r="F93" s="697"/>
      <c r="G93" s="698">
        <f>SUM(G34,G41,G48,G55,G62,G69,G76,G83)</f>
        <v>0</v>
      </c>
      <c r="H93" s="698"/>
      <c r="I93" s="698"/>
      <c r="J93" s="698"/>
      <c r="K93" s="698"/>
      <c r="L93" s="698"/>
      <c r="N93" s="844">
        <f t="shared" si="10"/>
        <v>0</v>
      </c>
    </row>
    <row r="94" spans="1:14" ht="28.5" customHeight="1" x14ac:dyDescent="0.25">
      <c r="A94" s="394">
        <v>2018</v>
      </c>
      <c r="B94" s="1063" t="str">
        <f>"per 31/12/"&amp;$J$13</f>
        <v>per 31/12/2018</v>
      </c>
      <c r="C94" s="1064"/>
      <c r="D94" s="1064"/>
      <c r="E94" s="1065"/>
      <c r="F94" s="697"/>
      <c r="G94" s="698">
        <f>SUM(G35,G42,G49,G56,G63,G70,G77,G84)</f>
        <v>0</v>
      </c>
      <c r="H94" s="698">
        <f>SUM(H35,H42,H49,H56,H63,H70,H77,H84)</f>
        <v>0</v>
      </c>
      <c r="I94" s="698"/>
      <c r="J94" s="698"/>
      <c r="K94" s="698"/>
      <c r="L94" s="698"/>
      <c r="N94" s="844">
        <f t="shared" si="10"/>
        <v>0</v>
      </c>
    </row>
    <row r="95" spans="1:14" ht="28.5" customHeight="1" x14ac:dyDescent="0.25">
      <c r="A95" s="394">
        <v>2019</v>
      </c>
      <c r="B95" s="1063" t="str">
        <f>"per 31/12/"&amp;$K$13</f>
        <v>per 31/12/2019</v>
      </c>
      <c r="C95" s="1064"/>
      <c r="D95" s="1064"/>
      <c r="E95" s="1065"/>
      <c r="F95" s="697"/>
      <c r="G95" s="698">
        <f>SUM(G36,G43,G50,G57,G64,G71,G78,G85)</f>
        <v>0</v>
      </c>
      <c r="H95" s="698">
        <f>SUM(H36,H43,H50,H57,H64,H71,H78,H85)</f>
        <v>0</v>
      </c>
      <c r="I95" s="698">
        <f>SUM(I36,I43,I50,I57,I64,I71,I78,I85)</f>
        <v>0</v>
      </c>
      <c r="J95" s="698"/>
      <c r="K95" s="698"/>
      <c r="L95" s="698"/>
      <c r="N95" s="844">
        <f t="shared" si="10"/>
        <v>0</v>
      </c>
    </row>
    <row r="96" spans="1:14" ht="28.5" customHeight="1" x14ac:dyDescent="0.25">
      <c r="A96" s="394">
        <v>2020</v>
      </c>
      <c r="B96" s="1063" t="str">
        <f>"per 31/12/"&amp;$L$13</f>
        <v>per 31/12/2020</v>
      </c>
      <c r="C96" s="1064"/>
      <c r="D96" s="1064"/>
      <c r="E96" s="1065"/>
      <c r="F96" s="697"/>
      <c r="G96" s="698">
        <f>SUM(G37,G44,G51,G58,G65,G72,G79,G86)</f>
        <v>0</v>
      </c>
      <c r="H96" s="698">
        <f>SUM(H37,H44,H51,H58,H65,H72,H79,H86)</f>
        <v>0</v>
      </c>
      <c r="I96" s="698">
        <f>SUM(I37,I44,I51,I58,I65,I72,I79,I86)</f>
        <v>0</v>
      </c>
      <c r="J96" s="698">
        <f>SUM(J37,J44,J51,J58,J65,J72,J79,J86)</f>
        <v>0</v>
      </c>
      <c r="K96" s="698"/>
      <c r="L96" s="698"/>
      <c r="N96" s="844">
        <f t="shared" si="10"/>
        <v>0</v>
      </c>
    </row>
    <row r="97" spans="2:14" s="381" customFormat="1" ht="13" x14ac:dyDescent="0.3">
      <c r="B97" s="1066" t="s">
        <v>242</v>
      </c>
      <c r="C97" s="1066"/>
      <c r="D97" s="1066"/>
      <c r="E97" s="1066"/>
      <c r="G97" s="913">
        <f>(VLOOKUP($D$2,$A$91:$G$96,7,FALSE)+IF($A$91&lt;$D$2,G91,0)+IF($A$92&lt;$D$2,G92,0)+IF($A$93&lt;$D$2,G93,0)+IF($A$94&lt;$D$2,G94,0)+IF($A$95&lt;$D$2,G95,0)+IF($A$96&lt;$D$2,G96,0))-T4A!C40</f>
        <v>0</v>
      </c>
      <c r="H97" s="913">
        <f>(VLOOKUP($D$2,$A$91:$H$96,8,FALSE)+IF($A$91&lt;$D$2,H91,0)+IF($A$92&lt;$D$2,H92,0)+IF($A$93&lt;$D$2,H93,0)+IF($A$94&lt;$D$2,H94,0)+IF($A$95&lt;$D$2,H95,0)+IF($A$96&lt;$D$2,H96,0))-T4A!D40</f>
        <v>0</v>
      </c>
      <c r="I97" s="913">
        <f>(VLOOKUP($D$2,$A$91:$I$96,9,FALSE)+IF($A$91&lt;$D$2,I91,0)+IF($A$92&lt;$D$2,I92,0)+IF($A$93&lt;$D$2,I93,0)+IF($A$94&lt;$D$2,I94,0)+IF($A$95&lt;$D$2,I95,0)+IF($A$96&lt;$D$2,I96,0))-T4A!E40</f>
        <v>0</v>
      </c>
      <c r="J97" s="913">
        <f>(VLOOKUP($D$2,$A$91:$J$96,10,FALSE)+IF($A$91&lt;$D$2,J91,0)+IF($A$92&lt;$D$2,J92,0)+IF($A$93&lt;$D$2,J93,0)+IF($A$94&lt;$D$2,J94,0)+IF($A$95&lt;$D$2,J95,0)+IF($A$96&lt;$D$2,J96,0))-T4A!F40</f>
        <v>0</v>
      </c>
      <c r="K97" s="694"/>
      <c r="L97" s="694"/>
      <c r="M97" s="848"/>
      <c r="N97" s="694">
        <f>(VLOOKUP($D$2,A91:N96,14,FALSE))-T4A!J40</f>
        <v>0</v>
      </c>
    </row>
    <row r="99" spans="2:14" ht="13" x14ac:dyDescent="0.3">
      <c r="G99" s="434" t="s">
        <v>67</v>
      </c>
    </row>
    <row r="100" spans="2:14" ht="13" x14ac:dyDescent="0.3">
      <c r="G100" s="434" t="s">
        <v>344</v>
      </c>
    </row>
    <row r="101" spans="2:14" s="48" customFormat="1" ht="69.75" customHeight="1" x14ac:dyDescent="0.25">
      <c r="B101" s="1060" t="s">
        <v>241</v>
      </c>
      <c r="C101" s="1061"/>
      <c r="D101" s="1061"/>
      <c r="E101" s="1062"/>
      <c r="F101" s="599"/>
      <c r="G101" s="675">
        <v>2015</v>
      </c>
      <c r="H101" s="675">
        <f>+G101+1</f>
        <v>2016</v>
      </c>
      <c r="I101" s="675">
        <f>+H101+1</f>
        <v>2017</v>
      </c>
      <c r="J101" s="675">
        <f>+I101+1</f>
        <v>2018</v>
      </c>
      <c r="K101" s="675">
        <f>+J101+1</f>
        <v>2019</v>
      </c>
      <c r="L101" s="675">
        <f>+K101+1</f>
        <v>2020</v>
      </c>
      <c r="M101" s="483"/>
      <c r="N101" s="675" t="s">
        <v>31</v>
      </c>
    </row>
    <row r="102" spans="2:14" s="130" customFormat="1" ht="12" customHeight="1" x14ac:dyDescent="0.25">
      <c r="B102" s="600"/>
      <c r="C102" s="600"/>
      <c r="D102" s="600"/>
      <c r="E102" s="600"/>
      <c r="F102" s="601"/>
      <c r="G102" s="602"/>
      <c r="H102" s="603"/>
      <c r="I102" s="603"/>
      <c r="J102" s="604"/>
      <c r="K102" s="604"/>
      <c r="L102" s="604"/>
      <c r="M102" s="846"/>
      <c r="N102" s="604"/>
    </row>
    <row r="103" spans="2:14" ht="36" customHeight="1" x14ac:dyDescent="0.25">
      <c r="B103" s="1077" t="s">
        <v>131</v>
      </c>
      <c r="C103" s="1078"/>
      <c r="D103" s="1078"/>
      <c r="E103" s="1079"/>
      <c r="F103" s="162"/>
      <c r="G103" s="686"/>
      <c r="H103" s="686"/>
      <c r="I103" s="686"/>
      <c r="J103" s="686"/>
      <c r="K103" s="686"/>
      <c r="L103" s="686"/>
      <c r="N103" s="686"/>
    </row>
    <row r="104" spans="2:14" ht="28.5" customHeight="1" x14ac:dyDescent="0.25">
      <c r="B104" s="1068" t="str">
        <f>"per 31/12/"&amp;$G$13</f>
        <v>per 31/12/2015</v>
      </c>
      <c r="C104" s="1069"/>
      <c r="D104" s="1069"/>
      <c r="E104" s="1070"/>
      <c r="F104" s="162"/>
      <c r="G104" s="684">
        <f>+G$15+G32</f>
        <v>0</v>
      </c>
      <c r="H104" s="684"/>
      <c r="I104" s="684"/>
      <c r="J104" s="684"/>
      <c r="K104" s="684"/>
      <c r="L104" s="684"/>
      <c r="M104" s="394">
        <v>2016</v>
      </c>
      <c r="N104" s="679">
        <f t="shared" ref="N104:N109" si="11">SUM(G104:L104)</f>
        <v>0</v>
      </c>
    </row>
    <row r="105" spans="2:14" ht="28.5" customHeight="1" x14ac:dyDescent="0.25">
      <c r="B105" s="1068" t="str">
        <f>"per 31/12/"&amp;$H$13</f>
        <v>per 31/12/2016</v>
      </c>
      <c r="C105" s="1069"/>
      <c r="D105" s="1069"/>
      <c r="E105" s="1070"/>
      <c r="F105" s="162"/>
      <c r="G105" s="684">
        <f>+G104+G33</f>
        <v>0</v>
      </c>
      <c r="H105" s="684">
        <f>+$H$15+H33</f>
        <v>0</v>
      </c>
      <c r="I105" s="684"/>
      <c r="J105" s="684"/>
      <c r="K105" s="684"/>
      <c r="L105" s="684"/>
      <c r="M105" s="394">
        <v>2017</v>
      </c>
      <c r="N105" s="679">
        <f t="shared" si="11"/>
        <v>0</v>
      </c>
    </row>
    <row r="106" spans="2:14" ht="28.5" customHeight="1" x14ac:dyDescent="0.25">
      <c r="B106" s="1068" t="str">
        <f>"per 31/12/"&amp;$I$13</f>
        <v>per 31/12/2017</v>
      </c>
      <c r="C106" s="1069"/>
      <c r="D106" s="1069"/>
      <c r="E106" s="1070"/>
      <c r="F106" s="162"/>
      <c r="G106" s="684">
        <f>+G105+G34</f>
        <v>0</v>
      </c>
      <c r="H106" s="684">
        <f>+H105+H34</f>
        <v>0</v>
      </c>
      <c r="I106" s="684">
        <f>+$I$15+I34</f>
        <v>0</v>
      </c>
      <c r="J106" s="684"/>
      <c r="K106" s="684"/>
      <c r="L106" s="684"/>
      <c r="M106" s="394">
        <v>2018</v>
      </c>
      <c r="N106" s="679">
        <f t="shared" si="11"/>
        <v>0</v>
      </c>
    </row>
    <row r="107" spans="2:14" ht="28.5" customHeight="1" x14ac:dyDescent="0.25">
      <c r="B107" s="1068" t="str">
        <f>"per 31/12/"&amp;$J$13</f>
        <v>per 31/12/2018</v>
      </c>
      <c r="C107" s="1069"/>
      <c r="D107" s="1069"/>
      <c r="E107" s="1070"/>
      <c r="F107" s="162"/>
      <c r="G107" s="684">
        <f>+G106+G35</f>
        <v>0</v>
      </c>
      <c r="H107" s="684">
        <f>+H106+H35</f>
        <v>0</v>
      </c>
      <c r="I107" s="684">
        <f>+I106+I35</f>
        <v>0</v>
      </c>
      <c r="J107" s="684">
        <f>+$J$15+J35</f>
        <v>0</v>
      </c>
      <c r="K107" s="684"/>
      <c r="L107" s="684"/>
      <c r="M107" s="394">
        <v>2019</v>
      </c>
      <c r="N107" s="679">
        <f t="shared" si="11"/>
        <v>0</v>
      </c>
    </row>
    <row r="108" spans="2:14" ht="28.5" customHeight="1" x14ac:dyDescent="0.25">
      <c r="B108" s="1068" t="str">
        <f>"per 31/12/"&amp;$K$13</f>
        <v>per 31/12/2019</v>
      </c>
      <c r="C108" s="1069"/>
      <c r="D108" s="1069"/>
      <c r="E108" s="1070"/>
      <c r="F108" s="162"/>
      <c r="G108" s="684">
        <f>+G107+G36</f>
        <v>0</v>
      </c>
      <c r="H108" s="684">
        <f>+H107+H36</f>
        <v>0</v>
      </c>
      <c r="I108" s="684">
        <f>+I107+I36</f>
        <v>0</v>
      </c>
      <c r="J108" s="684">
        <f>+J107+J36</f>
        <v>0</v>
      </c>
      <c r="K108" s="684">
        <f>+$K$15+K36</f>
        <v>0</v>
      </c>
      <c r="L108" s="684"/>
      <c r="M108" s="394">
        <v>2020</v>
      </c>
      <c r="N108" s="679">
        <f t="shared" si="11"/>
        <v>0</v>
      </c>
    </row>
    <row r="109" spans="2:14" ht="28.5" customHeight="1" x14ac:dyDescent="0.25">
      <c r="B109" s="1068" t="str">
        <f>"per 31/12/"&amp;$L$13</f>
        <v>per 31/12/2020</v>
      </c>
      <c r="C109" s="1069"/>
      <c r="D109" s="1069"/>
      <c r="E109" s="1070"/>
      <c r="F109" s="162"/>
      <c r="G109" s="684">
        <f>+G108+G37</f>
        <v>0</v>
      </c>
      <c r="H109" s="684">
        <f>+H108+H37</f>
        <v>0</v>
      </c>
      <c r="I109" s="684">
        <f>+I108+I37</f>
        <v>0</v>
      </c>
      <c r="J109" s="684">
        <f>+J108+J37</f>
        <v>0</v>
      </c>
      <c r="K109" s="684">
        <f>+K108+K37</f>
        <v>0</v>
      </c>
      <c r="L109" s="684">
        <f>+$L$15+L37</f>
        <v>0</v>
      </c>
      <c r="M109" s="394">
        <v>2021</v>
      </c>
      <c r="N109" s="679">
        <f t="shared" si="11"/>
        <v>0</v>
      </c>
    </row>
    <row r="110" spans="2:14" ht="27.75" customHeight="1" x14ac:dyDescent="0.25">
      <c r="B110" s="1077" t="s">
        <v>132</v>
      </c>
      <c r="C110" s="1078"/>
      <c r="D110" s="1078"/>
      <c r="E110" s="1079"/>
      <c r="F110" s="162"/>
      <c r="G110" s="686"/>
      <c r="H110" s="686"/>
      <c r="I110" s="686"/>
      <c r="J110" s="686"/>
      <c r="K110" s="686"/>
      <c r="L110" s="686"/>
      <c r="N110" s="686"/>
    </row>
    <row r="111" spans="2:14" ht="28.5" customHeight="1" x14ac:dyDescent="0.25">
      <c r="B111" s="1068" t="str">
        <f>"per 31/12/"&amp;$G$13</f>
        <v>per 31/12/2015</v>
      </c>
      <c r="C111" s="1069"/>
      <c r="D111" s="1069"/>
      <c r="E111" s="1070"/>
      <c r="F111" s="162"/>
      <c r="G111" s="684">
        <f>+$G$16+G39</f>
        <v>0</v>
      </c>
      <c r="H111" s="684"/>
      <c r="I111" s="684"/>
      <c r="J111" s="684"/>
      <c r="K111" s="684"/>
      <c r="L111" s="684"/>
      <c r="M111" s="394">
        <v>2016</v>
      </c>
      <c r="N111" s="679">
        <f t="shared" ref="N111:N116" si="12">SUM(G111:L111)</f>
        <v>0</v>
      </c>
    </row>
    <row r="112" spans="2:14" ht="28.5" customHeight="1" x14ac:dyDescent="0.25">
      <c r="B112" s="1068" t="str">
        <f>"per 31/12/"&amp;$H$13</f>
        <v>per 31/12/2016</v>
      </c>
      <c r="C112" s="1069"/>
      <c r="D112" s="1069"/>
      <c r="E112" s="1070"/>
      <c r="F112" s="162"/>
      <c r="G112" s="684">
        <f>+G111+G40</f>
        <v>0</v>
      </c>
      <c r="H112" s="684">
        <f>+H16+H40</f>
        <v>0</v>
      </c>
      <c r="I112" s="684"/>
      <c r="J112" s="684"/>
      <c r="K112" s="684"/>
      <c r="L112" s="684"/>
      <c r="M112" s="394">
        <v>2017</v>
      </c>
      <c r="N112" s="679">
        <f t="shared" si="12"/>
        <v>0</v>
      </c>
    </row>
    <row r="113" spans="2:14" ht="28.5" customHeight="1" x14ac:dyDescent="0.25">
      <c r="B113" s="1068" t="str">
        <f>"per 31/12/"&amp;$I$13</f>
        <v>per 31/12/2017</v>
      </c>
      <c r="C113" s="1069"/>
      <c r="D113" s="1069"/>
      <c r="E113" s="1070"/>
      <c r="F113" s="162"/>
      <c r="G113" s="684">
        <f>+G112+G41</f>
        <v>0</v>
      </c>
      <c r="H113" s="684">
        <f>+H112+H41</f>
        <v>0</v>
      </c>
      <c r="I113" s="684">
        <f>+I16+I41</f>
        <v>0</v>
      </c>
      <c r="J113" s="684"/>
      <c r="K113" s="684"/>
      <c r="L113" s="684"/>
      <c r="M113" s="394">
        <v>2018</v>
      </c>
      <c r="N113" s="679">
        <f t="shared" si="12"/>
        <v>0</v>
      </c>
    </row>
    <row r="114" spans="2:14" ht="28.5" customHeight="1" x14ac:dyDescent="0.25">
      <c r="B114" s="1068" t="str">
        <f>"per 31/12/"&amp;$J$13</f>
        <v>per 31/12/2018</v>
      </c>
      <c r="C114" s="1069"/>
      <c r="D114" s="1069"/>
      <c r="E114" s="1070"/>
      <c r="F114" s="162"/>
      <c r="G114" s="684">
        <f>+G113+G42</f>
        <v>0</v>
      </c>
      <c r="H114" s="684">
        <f>+H113+H42</f>
        <v>0</v>
      </c>
      <c r="I114" s="684">
        <f>+I113+I42</f>
        <v>0</v>
      </c>
      <c r="J114" s="684">
        <f>+J16+J42</f>
        <v>0</v>
      </c>
      <c r="K114" s="684"/>
      <c r="L114" s="684"/>
      <c r="M114" s="394">
        <v>2019</v>
      </c>
      <c r="N114" s="679">
        <f t="shared" si="12"/>
        <v>0</v>
      </c>
    </row>
    <row r="115" spans="2:14" ht="28.5" customHeight="1" x14ac:dyDescent="0.25">
      <c r="B115" s="1068" t="str">
        <f>"per 31/12/"&amp;$K$13</f>
        <v>per 31/12/2019</v>
      </c>
      <c r="C115" s="1069"/>
      <c r="D115" s="1069"/>
      <c r="E115" s="1070"/>
      <c r="F115" s="162"/>
      <c r="G115" s="684">
        <f>+G114+G43</f>
        <v>0</v>
      </c>
      <c r="H115" s="684">
        <f>+H114+H43</f>
        <v>0</v>
      </c>
      <c r="I115" s="684">
        <f>+I114+I43</f>
        <v>0</v>
      </c>
      <c r="J115" s="684">
        <f>+J114+J43</f>
        <v>0</v>
      </c>
      <c r="K115" s="684">
        <f>+K16+K43</f>
        <v>0</v>
      </c>
      <c r="L115" s="684"/>
      <c r="M115" s="394">
        <v>2020</v>
      </c>
      <c r="N115" s="679">
        <f t="shared" si="12"/>
        <v>0</v>
      </c>
    </row>
    <row r="116" spans="2:14" ht="28.5" customHeight="1" x14ac:dyDescent="0.25">
      <c r="B116" s="1068" t="str">
        <f>"per 31/12/"&amp;$L$13</f>
        <v>per 31/12/2020</v>
      </c>
      <c r="C116" s="1069"/>
      <c r="D116" s="1069"/>
      <c r="E116" s="1070"/>
      <c r="F116" s="162"/>
      <c r="G116" s="684">
        <f>+G115+G44</f>
        <v>0</v>
      </c>
      <c r="H116" s="684">
        <f>+H115+H44</f>
        <v>0</v>
      </c>
      <c r="I116" s="684">
        <f>+I115+I44</f>
        <v>0</v>
      </c>
      <c r="J116" s="684">
        <f>+J115+J44</f>
        <v>0</v>
      </c>
      <c r="K116" s="684">
        <f>+K115+K44</f>
        <v>0</v>
      </c>
      <c r="L116" s="684">
        <f>+L16+L44</f>
        <v>0</v>
      </c>
      <c r="M116" s="394">
        <v>2021</v>
      </c>
      <c r="N116" s="679">
        <f t="shared" si="12"/>
        <v>0</v>
      </c>
    </row>
    <row r="117" spans="2:14" ht="30" customHeight="1" x14ac:dyDescent="0.25">
      <c r="B117" s="1077" t="s">
        <v>138</v>
      </c>
      <c r="C117" s="1078"/>
      <c r="D117" s="1078"/>
      <c r="E117" s="1079"/>
      <c r="F117" s="162"/>
      <c r="G117" s="686"/>
      <c r="H117" s="686"/>
      <c r="I117" s="686"/>
      <c r="J117" s="686"/>
      <c r="K117" s="686"/>
      <c r="L117" s="686"/>
      <c r="N117" s="686"/>
    </row>
    <row r="118" spans="2:14" ht="28.5" customHeight="1" x14ac:dyDescent="0.25">
      <c r="B118" s="1068" t="str">
        <f>"per 31/12/"&amp;$G$13</f>
        <v>per 31/12/2015</v>
      </c>
      <c r="C118" s="1069"/>
      <c r="D118" s="1069"/>
      <c r="E118" s="1070"/>
      <c r="F118" s="162"/>
      <c r="G118" s="684">
        <f>+$G$17+G46</f>
        <v>0</v>
      </c>
      <c r="H118" s="684"/>
      <c r="I118" s="684"/>
      <c r="J118" s="684"/>
      <c r="K118" s="684"/>
      <c r="L118" s="684"/>
      <c r="M118" s="394">
        <v>2016</v>
      </c>
      <c r="N118" s="679">
        <f t="shared" ref="N118:N123" si="13">SUM(G118:L118)</f>
        <v>0</v>
      </c>
    </row>
    <row r="119" spans="2:14" ht="28.5" customHeight="1" x14ac:dyDescent="0.25">
      <c r="B119" s="1068" t="str">
        <f>"per 31/12/"&amp;$H$13</f>
        <v>per 31/12/2016</v>
      </c>
      <c r="C119" s="1069"/>
      <c r="D119" s="1069"/>
      <c r="E119" s="1070"/>
      <c r="F119" s="162"/>
      <c r="G119" s="684">
        <f>+G118+G47</f>
        <v>0</v>
      </c>
      <c r="H119" s="684">
        <f>+H17+H47</f>
        <v>0</v>
      </c>
      <c r="I119" s="684"/>
      <c r="J119" s="684"/>
      <c r="K119" s="684"/>
      <c r="L119" s="684"/>
      <c r="M119" s="394">
        <v>2017</v>
      </c>
      <c r="N119" s="679">
        <f t="shared" si="13"/>
        <v>0</v>
      </c>
    </row>
    <row r="120" spans="2:14" ht="28.5" customHeight="1" x14ac:dyDescent="0.25">
      <c r="B120" s="1068" t="str">
        <f>"per 31/12/"&amp;$I$13</f>
        <v>per 31/12/2017</v>
      </c>
      <c r="C120" s="1069"/>
      <c r="D120" s="1069"/>
      <c r="E120" s="1070"/>
      <c r="F120" s="162"/>
      <c r="G120" s="684">
        <f>+G119+G48</f>
        <v>0</v>
      </c>
      <c r="H120" s="684">
        <f>+H119+H48</f>
        <v>0</v>
      </c>
      <c r="I120" s="684">
        <f>+I17+I48</f>
        <v>0</v>
      </c>
      <c r="J120" s="684"/>
      <c r="K120" s="684"/>
      <c r="L120" s="684"/>
      <c r="M120" s="394">
        <v>2018</v>
      </c>
      <c r="N120" s="679">
        <f t="shared" si="13"/>
        <v>0</v>
      </c>
    </row>
    <row r="121" spans="2:14" ht="28.5" customHeight="1" x14ac:dyDescent="0.25">
      <c r="B121" s="1068" t="str">
        <f>"per 31/12/"&amp;$J$13</f>
        <v>per 31/12/2018</v>
      </c>
      <c r="C121" s="1069"/>
      <c r="D121" s="1069"/>
      <c r="E121" s="1070"/>
      <c r="F121" s="162"/>
      <c r="G121" s="684">
        <f>+G120+G49</f>
        <v>0</v>
      </c>
      <c r="H121" s="684">
        <f>+H120+H49</f>
        <v>0</v>
      </c>
      <c r="I121" s="684">
        <f>+I120+I49</f>
        <v>0</v>
      </c>
      <c r="J121" s="684">
        <f>+J17+J49</f>
        <v>0</v>
      </c>
      <c r="K121" s="684"/>
      <c r="L121" s="684"/>
      <c r="M121" s="394">
        <v>2019</v>
      </c>
      <c r="N121" s="679">
        <f t="shared" si="13"/>
        <v>0</v>
      </c>
    </row>
    <row r="122" spans="2:14" ht="28.5" customHeight="1" x14ac:dyDescent="0.25">
      <c r="B122" s="1068" t="str">
        <f>"per 31/12/"&amp;$K$13</f>
        <v>per 31/12/2019</v>
      </c>
      <c r="C122" s="1069"/>
      <c r="D122" s="1069"/>
      <c r="E122" s="1070"/>
      <c r="F122" s="162"/>
      <c r="G122" s="684">
        <f>+G121+G50</f>
        <v>0</v>
      </c>
      <c r="H122" s="684">
        <f>+H121+H50</f>
        <v>0</v>
      </c>
      <c r="I122" s="684">
        <f>+I121+I50</f>
        <v>0</v>
      </c>
      <c r="J122" s="684">
        <f>+J121+J50</f>
        <v>0</v>
      </c>
      <c r="K122" s="684">
        <f>+K17+K50</f>
        <v>0</v>
      </c>
      <c r="L122" s="684"/>
      <c r="M122" s="394">
        <v>2020</v>
      </c>
      <c r="N122" s="679">
        <f t="shared" si="13"/>
        <v>0</v>
      </c>
    </row>
    <row r="123" spans="2:14" ht="28.5" customHeight="1" x14ac:dyDescent="0.25">
      <c r="B123" s="1068" t="str">
        <f>"per 31/12/"&amp;$L$13</f>
        <v>per 31/12/2020</v>
      </c>
      <c r="C123" s="1069"/>
      <c r="D123" s="1069"/>
      <c r="E123" s="1070"/>
      <c r="F123" s="162"/>
      <c r="G123" s="684">
        <f>+G122+G51</f>
        <v>0</v>
      </c>
      <c r="H123" s="684">
        <f>+H122+H51</f>
        <v>0</v>
      </c>
      <c r="I123" s="684">
        <f>+I122+I51</f>
        <v>0</v>
      </c>
      <c r="J123" s="684">
        <f>+J122+J51</f>
        <v>0</v>
      </c>
      <c r="K123" s="684">
        <f>+K122+K51</f>
        <v>0</v>
      </c>
      <c r="L123" s="684">
        <f>+L17+L51</f>
        <v>0</v>
      </c>
      <c r="M123" s="394">
        <v>2021</v>
      </c>
      <c r="N123" s="679">
        <f t="shared" si="13"/>
        <v>0</v>
      </c>
    </row>
    <row r="124" spans="2:14" ht="30" customHeight="1" x14ac:dyDescent="0.25">
      <c r="B124" s="1077" t="s">
        <v>133</v>
      </c>
      <c r="C124" s="1078"/>
      <c r="D124" s="1078"/>
      <c r="E124" s="1079"/>
      <c r="F124" s="162"/>
      <c r="G124" s="686"/>
      <c r="H124" s="686"/>
      <c r="I124" s="686"/>
      <c r="J124" s="686"/>
      <c r="K124" s="686"/>
      <c r="L124" s="686"/>
      <c r="N124" s="686"/>
    </row>
    <row r="125" spans="2:14" ht="28.5" customHeight="1" x14ac:dyDescent="0.25">
      <c r="B125" s="1068" t="str">
        <f>"per 31/12/"&amp;$G$13</f>
        <v>per 31/12/2015</v>
      </c>
      <c r="C125" s="1069"/>
      <c r="D125" s="1069"/>
      <c r="E125" s="1070"/>
      <c r="F125" s="162"/>
      <c r="G125" s="684">
        <f>+$G$18+G53</f>
        <v>0</v>
      </c>
      <c r="H125" s="684"/>
      <c r="I125" s="684"/>
      <c r="J125" s="684"/>
      <c r="K125" s="684"/>
      <c r="L125" s="684"/>
      <c r="M125" s="394">
        <v>2016</v>
      </c>
      <c r="N125" s="679">
        <f t="shared" ref="N125:N130" si="14">SUM(G125:L125)</f>
        <v>0</v>
      </c>
    </row>
    <row r="126" spans="2:14" ht="28.5" customHeight="1" x14ac:dyDescent="0.25">
      <c r="B126" s="1068" t="str">
        <f>"per 31/12/"&amp;$H$13</f>
        <v>per 31/12/2016</v>
      </c>
      <c r="C126" s="1069"/>
      <c r="D126" s="1069"/>
      <c r="E126" s="1070"/>
      <c r="F126" s="162"/>
      <c r="G126" s="684">
        <f>+G125+G54</f>
        <v>0</v>
      </c>
      <c r="H126" s="684">
        <f>+H18+H54</f>
        <v>0</v>
      </c>
      <c r="I126" s="684"/>
      <c r="J126" s="684"/>
      <c r="K126" s="684"/>
      <c r="L126" s="684"/>
      <c r="M126" s="394">
        <v>2017</v>
      </c>
      <c r="N126" s="679">
        <f t="shared" si="14"/>
        <v>0</v>
      </c>
    </row>
    <row r="127" spans="2:14" ht="28.5" customHeight="1" x14ac:dyDescent="0.25">
      <c r="B127" s="1068" t="str">
        <f>"per 31/12/"&amp;$I$13</f>
        <v>per 31/12/2017</v>
      </c>
      <c r="C127" s="1069"/>
      <c r="D127" s="1069"/>
      <c r="E127" s="1070"/>
      <c r="F127" s="162"/>
      <c r="G127" s="684">
        <f>+G126+G55</f>
        <v>0</v>
      </c>
      <c r="H127" s="684">
        <f>+H126+H55</f>
        <v>0</v>
      </c>
      <c r="I127" s="684">
        <f>+I18+I55</f>
        <v>0</v>
      </c>
      <c r="J127" s="684"/>
      <c r="K127" s="684"/>
      <c r="L127" s="684"/>
      <c r="M127" s="394">
        <v>2018</v>
      </c>
      <c r="N127" s="679">
        <f t="shared" si="14"/>
        <v>0</v>
      </c>
    </row>
    <row r="128" spans="2:14" ht="28.5" customHeight="1" x14ac:dyDescent="0.25">
      <c r="B128" s="1068" t="str">
        <f>"per 31/12/"&amp;$J$13</f>
        <v>per 31/12/2018</v>
      </c>
      <c r="C128" s="1069"/>
      <c r="D128" s="1069"/>
      <c r="E128" s="1070"/>
      <c r="F128" s="162"/>
      <c r="G128" s="684">
        <f>+G127+G56</f>
        <v>0</v>
      </c>
      <c r="H128" s="684">
        <f>+H127+H56</f>
        <v>0</v>
      </c>
      <c r="I128" s="684">
        <f>+I127+I56</f>
        <v>0</v>
      </c>
      <c r="J128" s="684">
        <f>+J18+J56</f>
        <v>0</v>
      </c>
      <c r="K128" s="684"/>
      <c r="L128" s="684"/>
      <c r="M128" s="394">
        <v>2019</v>
      </c>
      <c r="N128" s="679">
        <f t="shared" si="14"/>
        <v>0</v>
      </c>
    </row>
    <row r="129" spans="2:14" ht="28.5" customHeight="1" x14ac:dyDescent="0.25">
      <c r="B129" s="1068" t="str">
        <f>"per 31/12/"&amp;$K$13</f>
        <v>per 31/12/2019</v>
      </c>
      <c r="C129" s="1069"/>
      <c r="D129" s="1069"/>
      <c r="E129" s="1070"/>
      <c r="F129" s="162"/>
      <c r="G129" s="684">
        <f>+G128+G57</f>
        <v>0</v>
      </c>
      <c r="H129" s="684">
        <f>+H128+H57</f>
        <v>0</v>
      </c>
      <c r="I129" s="684">
        <f>+I128+I57</f>
        <v>0</v>
      </c>
      <c r="J129" s="684">
        <f>+J128+J57</f>
        <v>0</v>
      </c>
      <c r="K129" s="684">
        <f>+K18+K57</f>
        <v>0</v>
      </c>
      <c r="L129" s="684"/>
      <c r="M129" s="394">
        <v>2020</v>
      </c>
      <c r="N129" s="679">
        <f t="shared" si="14"/>
        <v>0</v>
      </c>
    </row>
    <row r="130" spans="2:14" ht="28.5" customHeight="1" x14ac:dyDescent="0.25">
      <c r="B130" s="1068" t="str">
        <f>"per 31/12/"&amp;$L$13</f>
        <v>per 31/12/2020</v>
      </c>
      <c r="C130" s="1069"/>
      <c r="D130" s="1069"/>
      <c r="E130" s="1070"/>
      <c r="F130" s="162"/>
      <c r="G130" s="684">
        <f>+G129+G58</f>
        <v>0</v>
      </c>
      <c r="H130" s="684">
        <f>+H129+H58</f>
        <v>0</v>
      </c>
      <c r="I130" s="684">
        <f>+I129+I58</f>
        <v>0</v>
      </c>
      <c r="J130" s="684">
        <f>+J129+J58</f>
        <v>0</v>
      </c>
      <c r="K130" s="684">
        <f>+K129+K58</f>
        <v>0</v>
      </c>
      <c r="L130" s="684">
        <f>+L18+L58</f>
        <v>0</v>
      </c>
      <c r="M130" s="394">
        <v>2021</v>
      </c>
      <c r="N130" s="679">
        <f t="shared" si="14"/>
        <v>0</v>
      </c>
    </row>
    <row r="131" spans="2:14" ht="27" customHeight="1" x14ac:dyDescent="0.25">
      <c r="B131" s="1080" t="s">
        <v>239</v>
      </c>
      <c r="C131" s="1080"/>
      <c r="D131" s="1080"/>
      <c r="E131" s="1080"/>
      <c r="F131" s="162"/>
      <c r="G131" s="686"/>
      <c r="H131" s="686"/>
      <c r="I131" s="686"/>
      <c r="J131" s="686"/>
      <c r="K131" s="686"/>
      <c r="L131" s="686"/>
      <c r="N131" s="686"/>
    </row>
    <row r="132" spans="2:14" ht="28.5" customHeight="1" x14ac:dyDescent="0.25">
      <c r="B132" s="1068" t="str">
        <f>"per 31/12/"&amp;$G$13</f>
        <v>per 31/12/2015</v>
      </c>
      <c r="C132" s="1069"/>
      <c r="D132" s="1069"/>
      <c r="E132" s="1070"/>
      <c r="F132" s="162"/>
      <c r="G132" s="684">
        <f>+$G$19+G60</f>
        <v>0</v>
      </c>
      <c r="H132" s="684"/>
      <c r="I132" s="684"/>
      <c r="J132" s="684"/>
      <c r="K132" s="684"/>
      <c r="L132" s="684"/>
      <c r="M132" s="394">
        <v>2016</v>
      </c>
      <c r="N132" s="679">
        <f t="shared" ref="N132:N137" si="15">SUM(G132:L132)</f>
        <v>0</v>
      </c>
    </row>
    <row r="133" spans="2:14" ht="28.5" customHeight="1" x14ac:dyDescent="0.25">
      <c r="B133" s="1068" t="str">
        <f>"per 31/12/"&amp;$H$13</f>
        <v>per 31/12/2016</v>
      </c>
      <c r="C133" s="1069"/>
      <c r="D133" s="1069"/>
      <c r="E133" s="1070"/>
      <c r="F133" s="162"/>
      <c r="G133" s="684">
        <f>+G132+G61</f>
        <v>0</v>
      </c>
      <c r="H133" s="684">
        <f>+H19+H61</f>
        <v>0</v>
      </c>
      <c r="I133" s="684"/>
      <c r="J133" s="684"/>
      <c r="K133" s="684"/>
      <c r="L133" s="684"/>
      <c r="M133" s="394">
        <v>2017</v>
      </c>
      <c r="N133" s="679">
        <f t="shared" si="15"/>
        <v>0</v>
      </c>
    </row>
    <row r="134" spans="2:14" ht="28.5" customHeight="1" x14ac:dyDescent="0.25">
      <c r="B134" s="1068" t="str">
        <f>"per 31/12/"&amp;$I$13</f>
        <v>per 31/12/2017</v>
      </c>
      <c r="C134" s="1069"/>
      <c r="D134" s="1069"/>
      <c r="E134" s="1070"/>
      <c r="F134" s="162"/>
      <c r="G134" s="684">
        <f>+G133+G62</f>
        <v>0</v>
      </c>
      <c r="H134" s="684">
        <f>+H133+H62</f>
        <v>0</v>
      </c>
      <c r="I134" s="684">
        <f>+I19+I62</f>
        <v>0</v>
      </c>
      <c r="J134" s="684"/>
      <c r="K134" s="684"/>
      <c r="L134" s="684"/>
      <c r="M134" s="394">
        <v>2018</v>
      </c>
      <c r="N134" s="679">
        <f t="shared" si="15"/>
        <v>0</v>
      </c>
    </row>
    <row r="135" spans="2:14" ht="28.5" customHeight="1" x14ac:dyDescent="0.25">
      <c r="B135" s="1068" t="str">
        <f>"per 31/12/"&amp;$J$13</f>
        <v>per 31/12/2018</v>
      </c>
      <c r="C135" s="1069"/>
      <c r="D135" s="1069"/>
      <c r="E135" s="1070"/>
      <c r="F135" s="162"/>
      <c r="G135" s="684">
        <f>+G134+G63</f>
        <v>0</v>
      </c>
      <c r="H135" s="684">
        <f>+H134+H63</f>
        <v>0</v>
      </c>
      <c r="I135" s="684">
        <f>+I134+I63</f>
        <v>0</v>
      </c>
      <c r="J135" s="684">
        <f>+J19+J63</f>
        <v>0</v>
      </c>
      <c r="K135" s="684"/>
      <c r="L135" s="684"/>
      <c r="M135" s="394">
        <v>2019</v>
      </c>
      <c r="N135" s="679">
        <f t="shared" si="15"/>
        <v>0</v>
      </c>
    </row>
    <row r="136" spans="2:14" ht="28.5" customHeight="1" x14ac:dyDescent="0.25">
      <c r="B136" s="1068" t="str">
        <f>"per 31/12/"&amp;$K$13</f>
        <v>per 31/12/2019</v>
      </c>
      <c r="C136" s="1069"/>
      <c r="D136" s="1069"/>
      <c r="E136" s="1070"/>
      <c r="F136" s="162"/>
      <c r="G136" s="684">
        <f>+G135+G64</f>
        <v>0</v>
      </c>
      <c r="H136" s="684">
        <f>+H135+H64</f>
        <v>0</v>
      </c>
      <c r="I136" s="684">
        <f>+I135+I64</f>
        <v>0</v>
      </c>
      <c r="J136" s="684">
        <f>+J135+J64</f>
        <v>0</v>
      </c>
      <c r="K136" s="684">
        <f>+K19+K64</f>
        <v>0</v>
      </c>
      <c r="L136" s="684"/>
      <c r="M136" s="394">
        <v>2020</v>
      </c>
      <c r="N136" s="679">
        <f t="shared" si="15"/>
        <v>0</v>
      </c>
    </row>
    <row r="137" spans="2:14" ht="28.5" customHeight="1" x14ac:dyDescent="0.25">
      <c r="B137" s="1068" t="str">
        <f>"per 31/12/"&amp;$L$13</f>
        <v>per 31/12/2020</v>
      </c>
      <c r="C137" s="1069"/>
      <c r="D137" s="1069"/>
      <c r="E137" s="1070"/>
      <c r="F137" s="162"/>
      <c r="G137" s="684">
        <f>+G136+G65</f>
        <v>0</v>
      </c>
      <c r="H137" s="684">
        <f>+H136+H65</f>
        <v>0</v>
      </c>
      <c r="I137" s="684">
        <f>+I136+I65</f>
        <v>0</v>
      </c>
      <c r="J137" s="684">
        <f>+J136+J65</f>
        <v>0</v>
      </c>
      <c r="K137" s="684">
        <f>+K136+K65</f>
        <v>0</v>
      </c>
      <c r="L137" s="684">
        <f>+L19+L65</f>
        <v>0</v>
      </c>
      <c r="M137" s="394">
        <v>2021</v>
      </c>
      <c r="N137" s="679">
        <f t="shared" si="15"/>
        <v>0</v>
      </c>
    </row>
    <row r="138" spans="2:14" ht="26.25" customHeight="1" x14ac:dyDescent="0.25">
      <c r="B138" s="1077" t="s">
        <v>237</v>
      </c>
      <c r="C138" s="1078"/>
      <c r="D138" s="1078"/>
      <c r="E138" s="1079"/>
      <c r="F138" s="162"/>
      <c r="G138" s="686"/>
      <c r="H138" s="686"/>
      <c r="I138" s="686"/>
      <c r="J138" s="686"/>
      <c r="K138" s="686"/>
      <c r="L138" s="686"/>
      <c r="N138" s="686"/>
    </row>
    <row r="139" spans="2:14" ht="28.5" customHeight="1" x14ac:dyDescent="0.25">
      <c r="B139" s="1068" t="str">
        <f>"per 31/12/"&amp;$G$13</f>
        <v>per 31/12/2015</v>
      </c>
      <c r="C139" s="1069"/>
      <c r="D139" s="1069"/>
      <c r="E139" s="1070"/>
      <c r="F139" s="162"/>
      <c r="G139" s="684">
        <f>+$G$20+G67</f>
        <v>0</v>
      </c>
      <c r="H139" s="684"/>
      <c r="I139" s="684"/>
      <c r="J139" s="684"/>
      <c r="K139" s="684"/>
      <c r="L139" s="684"/>
      <c r="M139" s="394">
        <v>2016</v>
      </c>
      <c r="N139" s="679">
        <f t="shared" ref="N139:N144" si="16">SUM(G139:L139)</f>
        <v>0</v>
      </c>
    </row>
    <row r="140" spans="2:14" ht="28.5" customHeight="1" x14ac:dyDescent="0.25">
      <c r="B140" s="1068" t="str">
        <f>"per 31/12/"&amp;$H$13</f>
        <v>per 31/12/2016</v>
      </c>
      <c r="C140" s="1069"/>
      <c r="D140" s="1069"/>
      <c r="E140" s="1070"/>
      <c r="F140" s="162"/>
      <c r="G140" s="684">
        <f>G139+G68</f>
        <v>0</v>
      </c>
      <c r="H140" s="684">
        <f>H20+H68</f>
        <v>0</v>
      </c>
      <c r="I140" s="684"/>
      <c r="J140" s="684"/>
      <c r="K140" s="684"/>
      <c r="L140" s="684"/>
      <c r="M140" s="394">
        <v>2017</v>
      </c>
      <c r="N140" s="679">
        <f t="shared" si="16"/>
        <v>0</v>
      </c>
    </row>
    <row r="141" spans="2:14" ht="28.5" customHeight="1" x14ac:dyDescent="0.25">
      <c r="B141" s="1068" t="str">
        <f>"per 31/12/"&amp;$I$13</f>
        <v>per 31/12/2017</v>
      </c>
      <c r="C141" s="1069"/>
      <c r="D141" s="1069"/>
      <c r="E141" s="1070"/>
      <c r="F141" s="162"/>
      <c r="G141" s="684">
        <f>G140+G69</f>
        <v>0</v>
      </c>
      <c r="H141" s="684">
        <f>H140+H69</f>
        <v>0</v>
      </c>
      <c r="I141" s="684">
        <f>I20+I69</f>
        <v>0</v>
      </c>
      <c r="J141" s="684"/>
      <c r="K141" s="684"/>
      <c r="L141" s="684"/>
      <c r="M141" s="394">
        <v>2018</v>
      </c>
      <c r="N141" s="679">
        <f t="shared" si="16"/>
        <v>0</v>
      </c>
    </row>
    <row r="142" spans="2:14" ht="28.5" customHeight="1" x14ac:dyDescent="0.25">
      <c r="B142" s="1068" t="str">
        <f>"per 31/12/"&amp;$J$13</f>
        <v>per 31/12/2018</v>
      </c>
      <c r="C142" s="1069"/>
      <c r="D142" s="1069"/>
      <c r="E142" s="1070"/>
      <c r="F142" s="162"/>
      <c r="G142" s="684">
        <f>G141+G70</f>
        <v>0</v>
      </c>
      <c r="H142" s="684">
        <f>H141+H70</f>
        <v>0</v>
      </c>
      <c r="I142" s="684">
        <f>I141+I70</f>
        <v>0</v>
      </c>
      <c r="J142" s="684">
        <f>J20+J70</f>
        <v>0</v>
      </c>
      <c r="K142" s="684"/>
      <c r="L142" s="684"/>
      <c r="M142" s="394">
        <v>2019</v>
      </c>
      <c r="N142" s="679">
        <f t="shared" si="16"/>
        <v>0</v>
      </c>
    </row>
    <row r="143" spans="2:14" ht="28.5" customHeight="1" x14ac:dyDescent="0.25">
      <c r="B143" s="1068" t="str">
        <f>"per 31/12/"&amp;$K$13</f>
        <v>per 31/12/2019</v>
      </c>
      <c r="C143" s="1069"/>
      <c r="D143" s="1069"/>
      <c r="E143" s="1070"/>
      <c r="F143" s="162"/>
      <c r="G143" s="684">
        <f>G142+G71</f>
        <v>0</v>
      </c>
      <c r="H143" s="684">
        <f>H142+H71</f>
        <v>0</v>
      </c>
      <c r="I143" s="684">
        <f>I142+I71</f>
        <v>0</v>
      </c>
      <c r="J143" s="684">
        <f>J142+J71</f>
        <v>0</v>
      </c>
      <c r="K143" s="684">
        <f>K20+K71</f>
        <v>0</v>
      </c>
      <c r="L143" s="684"/>
      <c r="M143" s="394">
        <v>2020</v>
      </c>
      <c r="N143" s="679">
        <f t="shared" si="16"/>
        <v>0</v>
      </c>
    </row>
    <row r="144" spans="2:14" ht="28.5" customHeight="1" x14ac:dyDescent="0.25">
      <c r="B144" s="1068" t="str">
        <f>"per 31/12/"&amp;$L$13</f>
        <v>per 31/12/2020</v>
      </c>
      <c r="C144" s="1069"/>
      <c r="D144" s="1069"/>
      <c r="E144" s="1070"/>
      <c r="F144" s="162"/>
      <c r="G144" s="684">
        <f>G143+G72</f>
        <v>0</v>
      </c>
      <c r="H144" s="684">
        <f>H143+H72</f>
        <v>0</v>
      </c>
      <c r="I144" s="684">
        <f>I143+I72</f>
        <v>0</v>
      </c>
      <c r="J144" s="684">
        <f>J143+J72</f>
        <v>0</v>
      </c>
      <c r="K144" s="684">
        <f>K143+K72</f>
        <v>0</v>
      </c>
      <c r="L144" s="684">
        <f>L20+L72</f>
        <v>0</v>
      </c>
      <c r="M144" s="394">
        <v>2021</v>
      </c>
      <c r="N144" s="679">
        <f t="shared" si="16"/>
        <v>0</v>
      </c>
    </row>
    <row r="145" spans="2:14" ht="30" customHeight="1" x14ac:dyDescent="0.25">
      <c r="B145" s="1077" t="s">
        <v>287</v>
      </c>
      <c r="C145" s="1078"/>
      <c r="D145" s="1078"/>
      <c r="E145" s="1079"/>
      <c r="F145" s="162"/>
      <c r="G145" s="686"/>
      <c r="H145" s="686"/>
      <c r="I145" s="686"/>
      <c r="J145" s="686"/>
      <c r="K145" s="686"/>
      <c r="L145" s="686"/>
      <c r="N145" s="686"/>
    </row>
    <row r="146" spans="2:14" ht="28.5" customHeight="1" x14ac:dyDescent="0.25">
      <c r="B146" s="1068" t="str">
        <f>"per 31/12/"&amp;$G$13</f>
        <v>per 31/12/2015</v>
      </c>
      <c r="C146" s="1069"/>
      <c r="D146" s="1069"/>
      <c r="E146" s="1070"/>
      <c r="F146" s="162"/>
      <c r="G146" s="684">
        <f>+$G$21+G74</f>
        <v>0</v>
      </c>
      <c r="H146" s="684"/>
      <c r="I146" s="684"/>
      <c r="J146" s="684"/>
      <c r="K146" s="684"/>
      <c r="L146" s="684"/>
      <c r="M146" s="394">
        <v>2016</v>
      </c>
      <c r="N146" s="679">
        <f t="shared" ref="N146:N151" si="17">SUM(G146:L146)</f>
        <v>0</v>
      </c>
    </row>
    <row r="147" spans="2:14" ht="28.5" customHeight="1" x14ac:dyDescent="0.25">
      <c r="B147" s="1068" t="str">
        <f>"per 31/12/"&amp;$H$13</f>
        <v>per 31/12/2016</v>
      </c>
      <c r="C147" s="1069"/>
      <c r="D147" s="1069"/>
      <c r="E147" s="1070"/>
      <c r="F147" s="162"/>
      <c r="G147" s="684">
        <f>+G146+G75</f>
        <v>0</v>
      </c>
      <c r="H147" s="684">
        <f>+H21+H75</f>
        <v>0</v>
      </c>
      <c r="I147" s="684"/>
      <c r="J147" s="684"/>
      <c r="K147" s="684"/>
      <c r="L147" s="684"/>
      <c r="M147" s="394">
        <v>2017</v>
      </c>
      <c r="N147" s="679">
        <f t="shared" si="17"/>
        <v>0</v>
      </c>
    </row>
    <row r="148" spans="2:14" ht="28.5" customHeight="1" x14ac:dyDescent="0.25">
      <c r="B148" s="1068" t="str">
        <f>"per 31/12/"&amp;$I$13</f>
        <v>per 31/12/2017</v>
      </c>
      <c r="C148" s="1069"/>
      <c r="D148" s="1069"/>
      <c r="E148" s="1070"/>
      <c r="F148" s="162"/>
      <c r="G148" s="684">
        <f>+G147+G76</f>
        <v>0</v>
      </c>
      <c r="H148" s="684">
        <f>+H147+H76</f>
        <v>0</v>
      </c>
      <c r="I148" s="684">
        <f>+I21+I76</f>
        <v>0</v>
      </c>
      <c r="J148" s="684"/>
      <c r="K148" s="684"/>
      <c r="L148" s="684"/>
      <c r="M148" s="394">
        <v>2018</v>
      </c>
      <c r="N148" s="679">
        <f t="shared" si="17"/>
        <v>0</v>
      </c>
    </row>
    <row r="149" spans="2:14" ht="28.5" customHeight="1" x14ac:dyDescent="0.25">
      <c r="B149" s="1068" t="str">
        <f>"per 31/12/"&amp;$J$13</f>
        <v>per 31/12/2018</v>
      </c>
      <c r="C149" s="1069"/>
      <c r="D149" s="1069"/>
      <c r="E149" s="1070"/>
      <c r="F149" s="162"/>
      <c r="G149" s="684">
        <f>+G148+G77</f>
        <v>0</v>
      </c>
      <c r="H149" s="684">
        <f>+H148+H77</f>
        <v>0</v>
      </c>
      <c r="I149" s="684">
        <f>+I148+I77</f>
        <v>0</v>
      </c>
      <c r="J149" s="684">
        <f>+J21+J77</f>
        <v>0</v>
      </c>
      <c r="K149" s="684"/>
      <c r="L149" s="684"/>
      <c r="M149" s="394">
        <v>2019</v>
      </c>
      <c r="N149" s="679">
        <f t="shared" si="17"/>
        <v>0</v>
      </c>
    </row>
    <row r="150" spans="2:14" ht="28.5" customHeight="1" x14ac:dyDescent="0.25">
      <c r="B150" s="1068" t="str">
        <f>"per 31/12/"&amp;$K$13</f>
        <v>per 31/12/2019</v>
      </c>
      <c r="C150" s="1069"/>
      <c r="D150" s="1069"/>
      <c r="E150" s="1070"/>
      <c r="F150" s="162"/>
      <c r="G150" s="684">
        <f>+G149+G78</f>
        <v>0</v>
      </c>
      <c r="H150" s="684">
        <f>+H149+H78</f>
        <v>0</v>
      </c>
      <c r="I150" s="684">
        <f>+I149+I78</f>
        <v>0</v>
      </c>
      <c r="J150" s="684">
        <f>+J149+J78</f>
        <v>0</v>
      </c>
      <c r="K150" s="684">
        <f>+K21+K78</f>
        <v>0</v>
      </c>
      <c r="L150" s="684"/>
      <c r="M150" s="394">
        <v>2020</v>
      </c>
      <c r="N150" s="679">
        <f t="shared" si="17"/>
        <v>0</v>
      </c>
    </row>
    <row r="151" spans="2:14" ht="28.5" customHeight="1" x14ac:dyDescent="0.25">
      <c r="B151" s="1068" t="str">
        <f>"per 31/12/"&amp;$L$13</f>
        <v>per 31/12/2020</v>
      </c>
      <c r="C151" s="1069"/>
      <c r="D151" s="1069"/>
      <c r="E151" s="1070"/>
      <c r="F151" s="162"/>
      <c r="G151" s="684">
        <f>+G150+G79</f>
        <v>0</v>
      </c>
      <c r="H151" s="684">
        <f>+H150+H79</f>
        <v>0</v>
      </c>
      <c r="I151" s="684">
        <f>+I150+I79</f>
        <v>0</v>
      </c>
      <c r="J151" s="684">
        <f>+J150+J79</f>
        <v>0</v>
      </c>
      <c r="K151" s="684">
        <f>+K150+K79</f>
        <v>0</v>
      </c>
      <c r="L151" s="684">
        <f>+L21+L79</f>
        <v>0</v>
      </c>
      <c r="M151" s="394">
        <v>2021</v>
      </c>
      <c r="N151" s="679">
        <f t="shared" si="17"/>
        <v>0</v>
      </c>
    </row>
    <row r="152" spans="2:14" ht="33" customHeight="1" x14ac:dyDescent="0.25">
      <c r="B152" s="1074" t="s">
        <v>134</v>
      </c>
      <c r="C152" s="1075"/>
      <c r="D152" s="1075"/>
      <c r="E152" s="1076"/>
      <c r="F152" s="162"/>
      <c r="G152" s="686"/>
      <c r="H152" s="686"/>
      <c r="I152" s="686"/>
      <c r="J152" s="686"/>
      <c r="K152" s="686"/>
      <c r="L152" s="686"/>
      <c r="N152" s="686"/>
    </row>
    <row r="153" spans="2:14" ht="28.5" customHeight="1" x14ac:dyDescent="0.25">
      <c r="B153" s="1068" t="str">
        <f>"per 31/12/"&amp;$G$13</f>
        <v>per 31/12/2015</v>
      </c>
      <c r="C153" s="1069"/>
      <c r="D153" s="1069"/>
      <c r="E153" s="1070"/>
      <c r="F153" s="162"/>
      <c r="G153" s="687">
        <f>+$G$22+G81</f>
        <v>0</v>
      </c>
      <c r="H153" s="684"/>
      <c r="I153" s="684"/>
      <c r="J153" s="684"/>
      <c r="K153" s="684"/>
      <c r="L153" s="684"/>
      <c r="M153" s="394">
        <v>2016</v>
      </c>
      <c r="N153" s="679">
        <f t="shared" ref="N153:N158" si="18">SUM(G153:L153)</f>
        <v>0</v>
      </c>
    </row>
    <row r="154" spans="2:14" ht="28.5" customHeight="1" x14ac:dyDescent="0.25">
      <c r="B154" s="1068" t="str">
        <f>"per 31/12/"&amp;$H$13</f>
        <v>per 31/12/2016</v>
      </c>
      <c r="C154" s="1069"/>
      <c r="D154" s="1069"/>
      <c r="E154" s="1070"/>
      <c r="F154" s="162"/>
      <c r="G154" s="684">
        <f>+G153+G82</f>
        <v>0</v>
      </c>
      <c r="H154" s="684">
        <f>+H22+H82</f>
        <v>0</v>
      </c>
      <c r="I154" s="684"/>
      <c r="J154" s="684"/>
      <c r="K154" s="684"/>
      <c r="L154" s="684"/>
      <c r="M154" s="394">
        <v>2017</v>
      </c>
      <c r="N154" s="679">
        <f t="shared" si="18"/>
        <v>0</v>
      </c>
    </row>
    <row r="155" spans="2:14" ht="28.5" customHeight="1" x14ac:dyDescent="0.25">
      <c r="B155" s="1068" t="str">
        <f>"per 31/12/"&amp;$I$13</f>
        <v>per 31/12/2017</v>
      </c>
      <c r="C155" s="1069"/>
      <c r="D155" s="1069"/>
      <c r="E155" s="1070"/>
      <c r="F155" s="162"/>
      <c r="G155" s="684">
        <f>+G154+G83</f>
        <v>0</v>
      </c>
      <c r="H155" s="684">
        <f>+H154+H83</f>
        <v>0</v>
      </c>
      <c r="I155" s="684">
        <f>+I22+I83</f>
        <v>0</v>
      </c>
      <c r="J155" s="684"/>
      <c r="K155" s="684"/>
      <c r="L155" s="684"/>
      <c r="M155" s="394">
        <v>2018</v>
      </c>
      <c r="N155" s="679">
        <f t="shared" si="18"/>
        <v>0</v>
      </c>
    </row>
    <row r="156" spans="2:14" ht="28.5" customHeight="1" x14ac:dyDescent="0.25">
      <c r="B156" s="1068" t="str">
        <f>"per 31/12/"&amp;$J$13</f>
        <v>per 31/12/2018</v>
      </c>
      <c r="C156" s="1069"/>
      <c r="D156" s="1069"/>
      <c r="E156" s="1070"/>
      <c r="F156" s="162"/>
      <c r="G156" s="684">
        <f>+G155+G84</f>
        <v>0</v>
      </c>
      <c r="H156" s="684">
        <f>+H155+H84</f>
        <v>0</v>
      </c>
      <c r="I156" s="684">
        <f>+I155+I84</f>
        <v>0</v>
      </c>
      <c r="J156" s="684">
        <f>+J22+J84</f>
        <v>0</v>
      </c>
      <c r="K156" s="684"/>
      <c r="L156" s="684"/>
      <c r="M156" s="394">
        <v>2019</v>
      </c>
      <c r="N156" s="679">
        <f t="shared" si="18"/>
        <v>0</v>
      </c>
    </row>
    <row r="157" spans="2:14" ht="28.5" customHeight="1" x14ac:dyDescent="0.25">
      <c r="B157" s="1068" t="str">
        <f>"per 31/12/"&amp;$K$13</f>
        <v>per 31/12/2019</v>
      </c>
      <c r="C157" s="1069"/>
      <c r="D157" s="1069"/>
      <c r="E157" s="1070"/>
      <c r="F157" s="162"/>
      <c r="G157" s="684">
        <f>+G156+G85</f>
        <v>0</v>
      </c>
      <c r="H157" s="684">
        <f>+H156+H85</f>
        <v>0</v>
      </c>
      <c r="I157" s="684">
        <f>+I156+I85</f>
        <v>0</v>
      </c>
      <c r="J157" s="684">
        <f>+J156+J85</f>
        <v>0</v>
      </c>
      <c r="K157" s="684">
        <f>+K22+K85</f>
        <v>0</v>
      </c>
      <c r="L157" s="684"/>
      <c r="M157" s="394">
        <v>2020</v>
      </c>
      <c r="N157" s="679">
        <f t="shared" si="18"/>
        <v>0</v>
      </c>
    </row>
    <row r="158" spans="2:14" ht="28.5" customHeight="1" x14ac:dyDescent="0.25">
      <c r="B158" s="1068" t="str">
        <f>"per 31/12/"&amp;$L$13</f>
        <v>per 31/12/2020</v>
      </c>
      <c r="C158" s="1069"/>
      <c r="D158" s="1069"/>
      <c r="E158" s="1070"/>
      <c r="F158" s="162"/>
      <c r="G158" s="684">
        <f>+G157+G86</f>
        <v>0</v>
      </c>
      <c r="H158" s="684">
        <f>+H157+H86</f>
        <v>0</v>
      </c>
      <c r="I158" s="684">
        <f>+I157+I86</f>
        <v>0</v>
      </c>
      <c r="J158" s="684">
        <f>+J157+J86</f>
        <v>0</v>
      </c>
      <c r="K158" s="684">
        <f>+K157+K86</f>
        <v>0</v>
      </c>
      <c r="L158" s="684">
        <f>+L22+L86</f>
        <v>0</v>
      </c>
      <c r="M158" s="394">
        <v>2021</v>
      </c>
      <c r="N158" s="679">
        <f t="shared" si="18"/>
        <v>0</v>
      </c>
    </row>
    <row r="159" spans="2:14" ht="13" x14ac:dyDescent="0.3">
      <c r="G159" s="680"/>
      <c r="H159" s="680"/>
      <c r="I159" s="680"/>
      <c r="J159" s="680"/>
      <c r="K159" s="680"/>
      <c r="L159" s="680"/>
      <c r="N159" s="845"/>
    </row>
    <row r="160" spans="2:14" s="381" customFormat="1" ht="13" x14ac:dyDescent="0.3">
      <c r="B160" s="865"/>
      <c r="C160" s="862"/>
      <c r="D160" s="862"/>
      <c r="E160" s="863"/>
      <c r="F160" s="864"/>
      <c r="G160" s="857">
        <v>2015</v>
      </c>
      <c r="H160" s="675">
        <f>+G160+1</f>
        <v>2016</v>
      </c>
      <c r="I160" s="675">
        <f>+H160+1</f>
        <v>2017</v>
      </c>
      <c r="J160" s="675">
        <f>+I160+1</f>
        <v>2018</v>
      </c>
      <c r="K160" s="675">
        <f>+J160+1</f>
        <v>2019</v>
      </c>
      <c r="L160" s="675">
        <f>+K160+1</f>
        <v>2020</v>
      </c>
      <c r="M160" s="483"/>
      <c r="N160" s="675" t="s">
        <v>31</v>
      </c>
    </row>
    <row r="161" spans="1:14" s="685" customFormat="1" ht="20.25" customHeight="1" x14ac:dyDescent="0.25">
      <c r="B161" s="1071" t="s">
        <v>336</v>
      </c>
      <c r="C161" s="1072"/>
      <c r="D161" s="1072"/>
      <c r="E161" s="1073"/>
      <c r="F161" s="695"/>
      <c r="G161" s="696"/>
      <c r="H161" s="696"/>
      <c r="I161" s="696"/>
      <c r="J161" s="696"/>
      <c r="K161" s="696"/>
      <c r="L161" s="696"/>
      <c r="M161" s="847"/>
      <c r="N161" s="696"/>
    </row>
    <row r="162" spans="1:14" ht="28.5" customHeight="1" x14ac:dyDescent="0.25">
      <c r="A162" s="394">
        <v>2015</v>
      </c>
      <c r="B162" s="1063" t="str">
        <f>"per 31/12/"&amp;$G$13</f>
        <v>per 31/12/2015</v>
      </c>
      <c r="C162" s="1064"/>
      <c r="D162" s="1064"/>
      <c r="E162" s="1065"/>
      <c r="F162" s="697"/>
      <c r="G162" s="698">
        <f>SUM(G104,G111,G118,G125,G132,G139,G146,G153)</f>
        <v>0</v>
      </c>
      <c r="H162" s="698"/>
      <c r="I162" s="698"/>
      <c r="J162" s="698"/>
      <c r="K162" s="698"/>
      <c r="L162" s="698"/>
      <c r="M162" s="394">
        <v>2016</v>
      </c>
      <c r="N162" s="844">
        <f t="shared" ref="N162:N167" si="19">SUM(N104,N111,N118,N125,N132,N139,N146,N153)</f>
        <v>0</v>
      </c>
    </row>
    <row r="163" spans="1:14" ht="28.5" customHeight="1" x14ac:dyDescent="0.25">
      <c r="A163" s="394">
        <v>2016</v>
      </c>
      <c r="B163" s="1063" t="str">
        <f>"per 31/12/"&amp;$H$13</f>
        <v>per 31/12/2016</v>
      </c>
      <c r="C163" s="1064"/>
      <c r="D163" s="1064"/>
      <c r="E163" s="1065"/>
      <c r="F163" s="697"/>
      <c r="G163" s="698">
        <f>SUM(G105,G112,G119,G126,G133,G140,G147,G154)</f>
        <v>0</v>
      </c>
      <c r="H163" s="698">
        <f>SUM(H105,H112,H119,H126,H133,H140,H147,H154)</f>
        <v>0</v>
      </c>
      <c r="I163" s="698"/>
      <c r="J163" s="698"/>
      <c r="K163" s="698"/>
      <c r="L163" s="698"/>
      <c r="M163" s="394">
        <v>2017</v>
      </c>
      <c r="N163" s="844">
        <f t="shared" si="19"/>
        <v>0</v>
      </c>
    </row>
    <row r="164" spans="1:14" ht="28.5" customHeight="1" x14ac:dyDescent="0.25">
      <c r="A164" s="394">
        <v>2017</v>
      </c>
      <c r="B164" s="1063" t="str">
        <f>"per 31/12/"&amp;$I$13</f>
        <v>per 31/12/2017</v>
      </c>
      <c r="C164" s="1064"/>
      <c r="D164" s="1064"/>
      <c r="E164" s="1065"/>
      <c r="F164" s="697"/>
      <c r="G164" s="698">
        <f>SUM(G106,G113,G120,G127,G134,G141,G148,G155)</f>
        <v>0</v>
      </c>
      <c r="H164" s="698">
        <f>SUM(H106,H113,H120,H127,H134,H141,H148,H155)</f>
        <v>0</v>
      </c>
      <c r="I164" s="698">
        <f>SUM(I106,I113,I120,I127,I134,I141,I148,I155)</f>
        <v>0</v>
      </c>
      <c r="J164" s="698"/>
      <c r="K164" s="698"/>
      <c r="L164" s="698"/>
      <c r="M164" s="394">
        <v>2018</v>
      </c>
      <c r="N164" s="844">
        <f t="shared" si="19"/>
        <v>0</v>
      </c>
    </row>
    <row r="165" spans="1:14" ht="28.5" customHeight="1" x14ac:dyDescent="0.25">
      <c r="A165" s="394">
        <v>2018</v>
      </c>
      <c r="B165" s="1063" t="str">
        <f>"per 31/12/"&amp;$J$13</f>
        <v>per 31/12/2018</v>
      </c>
      <c r="C165" s="1064"/>
      <c r="D165" s="1064"/>
      <c r="E165" s="1065"/>
      <c r="F165" s="697"/>
      <c r="G165" s="698">
        <f>SUM(G107,G114,G121,G128,G135,G142,G149,G156)</f>
        <v>0</v>
      </c>
      <c r="H165" s="698">
        <f>SUM(H107,H114,H121,H128,H135,H142,H149,H156)</f>
        <v>0</v>
      </c>
      <c r="I165" s="698">
        <f>SUM(I107,I114,I121,I128,I135,I142,I149,I156)</f>
        <v>0</v>
      </c>
      <c r="J165" s="698">
        <f>SUM(J107,J114,J121,J128,J135,J142,J149,J156)</f>
        <v>0</v>
      </c>
      <c r="K165" s="698"/>
      <c r="L165" s="698"/>
      <c r="M165" s="394">
        <v>2019</v>
      </c>
      <c r="N165" s="844">
        <f t="shared" si="19"/>
        <v>0</v>
      </c>
    </row>
    <row r="166" spans="1:14" ht="28.5" customHeight="1" x14ac:dyDescent="0.25">
      <c r="A166" s="394">
        <v>2019</v>
      </c>
      <c r="B166" s="1063" t="str">
        <f>"per 31/12/"&amp;$K$13</f>
        <v>per 31/12/2019</v>
      </c>
      <c r="C166" s="1064"/>
      <c r="D166" s="1064"/>
      <c r="E166" s="1065"/>
      <c r="F166" s="697"/>
      <c r="G166" s="698">
        <f>SUM(G108,G115,G122,G129,G136,G143,G150,G157)</f>
        <v>0</v>
      </c>
      <c r="H166" s="698">
        <f>SUM(H108,H115,H122,H129,H136,H143,H150,H157)</f>
        <v>0</v>
      </c>
      <c r="I166" s="698">
        <f>SUM(I108,I115,I122,I129,I136,I143,I150,I157)</f>
        <v>0</v>
      </c>
      <c r="J166" s="698">
        <f>SUM(J108,J115,J122,J129,J136,J143,J150,J157)</f>
        <v>0</v>
      </c>
      <c r="K166" s="698">
        <f>SUM(K108,K115,K122,K129,K136,K143,K150,K157)</f>
        <v>0</v>
      </c>
      <c r="L166" s="698"/>
      <c r="M166" s="394">
        <v>2020</v>
      </c>
      <c r="N166" s="844">
        <f t="shared" si="19"/>
        <v>0</v>
      </c>
    </row>
    <row r="167" spans="1:14" ht="28.5" customHeight="1" x14ac:dyDescent="0.25">
      <c r="A167" s="394">
        <v>2020</v>
      </c>
      <c r="B167" s="1063" t="str">
        <f>"per 31/12/"&amp;$L$13</f>
        <v>per 31/12/2020</v>
      </c>
      <c r="C167" s="1064"/>
      <c r="D167" s="1064"/>
      <c r="E167" s="1065"/>
      <c r="F167" s="697"/>
      <c r="G167" s="698">
        <f t="shared" ref="G167:L167" si="20">SUM(G109,G116,G123,G130,G137,G144,G151,G158)</f>
        <v>0</v>
      </c>
      <c r="H167" s="698">
        <f t="shared" si="20"/>
        <v>0</v>
      </c>
      <c r="I167" s="698">
        <f t="shared" si="20"/>
        <v>0</v>
      </c>
      <c r="J167" s="698">
        <f t="shared" si="20"/>
        <v>0</v>
      </c>
      <c r="K167" s="698">
        <f t="shared" si="20"/>
        <v>0</v>
      </c>
      <c r="L167" s="698">
        <f t="shared" si="20"/>
        <v>0</v>
      </c>
      <c r="M167" s="394">
        <v>2021</v>
      </c>
      <c r="N167" s="844">
        <f t="shared" si="19"/>
        <v>0</v>
      </c>
    </row>
    <row r="168" spans="1:14" s="381" customFormat="1" ht="13" x14ac:dyDescent="0.3">
      <c r="B168" s="1066" t="s">
        <v>242</v>
      </c>
      <c r="C168" s="1066"/>
      <c r="D168" s="1066"/>
      <c r="E168" s="1066"/>
      <c r="G168" s="694">
        <f>(VLOOKUP($D$2,A162:G167,7,FALSE))-T4A!C28</f>
        <v>0</v>
      </c>
      <c r="H168" s="694">
        <f>(VLOOKUP($D$2,A162:H167,8,FALSE))-T4A!D28</f>
        <v>0</v>
      </c>
      <c r="I168" s="694">
        <f>(VLOOKUP($D$2,A162:I167,9,FALSE))-T4A!E28</f>
        <v>0</v>
      </c>
      <c r="J168" s="694">
        <f>(VLOOKUP(D2,A162:J167,10,FALSE))-T4A!F28</f>
        <v>0</v>
      </c>
      <c r="K168" s="694">
        <f>(VLOOKUP(D2,A162:K167,11,FALSE))-T4A!G28</f>
        <v>0</v>
      </c>
      <c r="L168" s="694">
        <f>(VLOOKUP(D2,A162:L167,12,FALSE))-T4A!H28</f>
        <v>0</v>
      </c>
      <c r="M168" s="848"/>
      <c r="N168" s="694">
        <f>(VLOOKUP(D2,A162:N167,14,FALSE))-T4A!J28</f>
        <v>0</v>
      </c>
    </row>
    <row r="169" spans="1:14" ht="13" x14ac:dyDescent="0.3">
      <c r="B169" s="390"/>
      <c r="C169" s="390"/>
      <c r="D169" s="390"/>
      <c r="E169" s="390"/>
      <c r="F169" s="391"/>
      <c r="G169" s="392"/>
      <c r="H169" s="392"/>
      <c r="I169" s="392"/>
      <c r="J169" s="392"/>
      <c r="K169" s="392"/>
      <c r="L169" s="392"/>
      <c r="N169" s="392"/>
    </row>
    <row r="170" spans="1:14" ht="13" x14ac:dyDescent="0.3">
      <c r="B170" s="390"/>
      <c r="C170" s="390"/>
      <c r="D170" s="390"/>
      <c r="E170" s="390"/>
      <c r="F170" s="391"/>
      <c r="G170" s="392"/>
      <c r="H170" s="392"/>
      <c r="I170" s="392"/>
      <c r="J170" s="392"/>
      <c r="K170" s="392"/>
      <c r="L170" s="392"/>
      <c r="N170" s="392"/>
    </row>
    <row r="171" spans="1:14" ht="13" x14ac:dyDescent="0.3">
      <c r="B171" s="390"/>
      <c r="C171" s="390"/>
      <c r="D171" s="390"/>
      <c r="E171" s="390"/>
      <c r="F171" s="391"/>
      <c r="G171" s="435" t="s">
        <v>56</v>
      </c>
      <c r="H171" s="392"/>
      <c r="I171" s="392"/>
      <c r="J171" s="392"/>
      <c r="K171" s="392"/>
      <c r="L171" s="392"/>
      <c r="N171" s="392"/>
    </row>
    <row r="172" spans="1:14" ht="13" x14ac:dyDescent="0.3">
      <c r="G172" s="435" t="s">
        <v>57</v>
      </c>
      <c r="H172" s="392"/>
      <c r="I172" s="392"/>
      <c r="J172" s="392"/>
    </row>
    <row r="173" spans="1:14" ht="104.25" customHeight="1" x14ac:dyDescent="0.3">
      <c r="B173" s="1089" t="s">
        <v>130</v>
      </c>
      <c r="C173" s="1090"/>
      <c r="D173" s="1090"/>
      <c r="E173" s="1091"/>
      <c r="F173" s="162"/>
      <c r="G173" s="907" t="str">
        <f>"Afbouw van het regulatoir saldo inzake exogene kosten m.b.t. distributienettarieven op te nemen in het toegelaten inkomen voor boekjaar "&amp;D2&amp;", en dit conform de bepalingen in de tariefmethodologie omtrent de afbouw van het betreffende regulatoir saldo"</f>
        <v>Afbouw van het regulatoir saldo inzake exogene kosten m.b.t. distributienettarieven op te nemen in het toegelaten inkomen voor boekjaar 2019, en dit conform de bepalingen in de tariefmethodologie omtrent de afbouw van het betreffende regulatoir saldo</v>
      </c>
      <c r="H173" s="392"/>
      <c r="I173" s="392"/>
      <c r="J173" s="392"/>
    </row>
    <row r="174" spans="1:14" ht="13" x14ac:dyDescent="0.3">
      <c r="B174" s="910"/>
      <c r="C174" s="384"/>
      <c r="D174" s="384"/>
      <c r="E174" s="384"/>
      <c r="F174" s="385"/>
      <c r="G174" s="911"/>
      <c r="H174" s="392"/>
      <c r="I174" s="392"/>
      <c r="J174" s="392"/>
    </row>
    <row r="175" spans="1:14" s="685" customFormat="1" ht="28.5" customHeight="1" x14ac:dyDescent="0.3">
      <c r="B175" s="1081" t="s">
        <v>131</v>
      </c>
      <c r="C175" s="1081"/>
      <c r="D175" s="1081"/>
      <c r="E175" s="1081"/>
      <c r="F175" s="688"/>
      <c r="G175" s="684">
        <f>VLOOKUP($D$2,B221:C224,2,FALSE)</f>
        <v>0</v>
      </c>
      <c r="H175" s="392"/>
      <c r="I175" s="392"/>
      <c r="J175" s="392"/>
      <c r="M175" s="847"/>
    </row>
    <row r="176" spans="1:14" s="685" customFormat="1" ht="18.75" customHeight="1" x14ac:dyDescent="0.3">
      <c r="B176" s="1081" t="s">
        <v>132</v>
      </c>
      <c r="C176" s="1081"/>
      <c r="D176" s="1081"/>
      <c r="E176" s="1081"/>
      <c r="F176" s="688"/>
      <c r="G176" s="684">
        <f>VLOOKUP($D$2,B261:C264,2,FALSE)</f>
        <v>0</v>
      </c>
      <c r="H176" s="392"/>
      <c r="I176" s="392"/>
      <c r="J176" s="392"/>
      <c r="M176" s="847"/>
    </row>
    <row r="177" spans="2:14" s="685" customFormat="1" ht="19.5" customHeight="1" x14ac:dyDescent="0.3">
      <c r="B177" s="1081" t="s">
        <v>138</v>
      </c>
      <c r="C177" s="1081"/>
      <c r="D177" s="1081"/>
      <c r="E177" s="1081"/>
      <c r="F177" s="688"/>
      <c r="G177" s="684">
        <f>VLOOKUP($D$2,B301:C304,2,FALSE)</f>
        <v>0</v>
      </c>
      <c r="H177" s="392"/>
      <c r="I177" s="392"/>
      <c r="J177" s="392"/>
      <c r="M177" s="847"/>
    </row>
    <row r="178" spans="2:14" s="685" customFormat="1" ht="17.25" customHeight="1" x14ac:dyDescent="0.3">
      <c r="B178" s="1081" t="s">
        <v>133</v>
      </c>
      <c r="C178" s="1081"/>
      <c r="D178" s="1081"/>
      <c r="E178" s="1081"/>
      <c r="F178" s="688"/>
      <c r="G178" s="684">
        <f>VLOOKUP($D$2,B341:C344,2,FALSE)</f>
        <v>0</v>
      </c>
      <c r="H178" s="392"/>
      <c r="I178" s="392"/>
      <c r="J178" s="392"/>
      <c r="M178" s="847"/>
    </row>
    <row r="179" spans="2:14" s="685" customFormat="1" ht="29.25" customHeight="1" x14ac:dyDescent="0.3">
      <c r="B179" s="1081" t="s">
        <v>239</v>
      </c>
      <c r="C179" s="1081"/>
      <c r="D179" s="1081"/>
      <c r="E179" s="1081"/>
      <c r="F179" s="688"/>
      <c r="G179" s="684">
        <f>VLOOKUP($D$2,B381:C384,2,FALSE)</f>
        <v>0</v>
      </c>
      <c r="H179" s="392"/>
      <c r="I179" s="392"/>
      <c r="J179" s="392"/>
      <c r="M179" s="847"/>
    </row>
    <row r="180" spans="2:14" s="685" customFormat="1" ht="19.5" customHeight="1" x14ac:dyDescent="0.3">
      <c r="B180" s="1081" t="s">
        <v>237</v>
      </c>
      <c r="C180" s="1081"/>
      <c r="D180" s="1081"/>
      <c r="E180" s="1081"/>
      <c r="F180" s="688"/>
      <c r="G180" s="684">
        <f>VLOOKUP($D$2,B421:C424,2,FALSE)</f>
        <v>0</v>
      </c>
      <c r="H180" s="392"/>
      <c r="I180" s="392"/>
      <c r="J180" s="392"/>
      <c r="M180" s="847"/>
    </row>
    <row r="181" spans="2:14" s="685" customFormat="1" ht="29.25" customHeight="1" x14ac:dyDescent="0.3">
      <c r="B181" s="1081" t="s">
        <v>287</v>
      </c>
      <c r="C181" s="1081"/>
      <c r="D181" s="1081"/>
      <c r="E181" s="1081"/>
      <c r="F181" s="688"/>
      <c r="G181" s="684">
        <f>VLOOKUP($D$2,B461:C464,2,FALSE)</f>
        <v>0</v>
      </c>
      <c r="H181" s="392"/>
      <c r="I181" s="392"/>
      <c r="J181" s="392"/>
      <c r="M181" s="847"/>
    </row>
    <row r="182" spans="2:14" s="685" customFormat="1" ht="27" customHeight="1" x14ac:dyDescent="0.3">
      <c r="B182" s="1081" t="s">
        <v>134</v>
      </c>
      <c r="C182" s="1081"/>
      <c r="D182" s="1081"/>
      <c r="E182" s="1081"/>
      <c r="F182" s="688"/>
      <c r="G182" s="684">
        <f>VLOOKUP($D$2,B501:C504,2,FALSE)</f>
        <v>0</v>
      </c>
      <c r="H182" s="392"/>
      <c r="I182" s="392"/>
      <c r="J182" s="392"/>
      <c r="M182" s="847"/>
    </row>
    <row r="183" spans="2:14" ht="13" x14ac:dyDescent="0.3">
      <c r="H183" s="392"/>
      <c r="I183" s="392"/>
      <c r="J183" s="392"/>
    </row>
    <row r="184" spans="2:14" ht="13" x14ac:dyDescent="0.3">
      <c r="B184" s="1086" t="s">
        <v>33</v>
      </c>
      <c r="C184" s="1087"/>
      <c r="D184" s="1087"/>
      <c r="E184" s="1088"/>
      <c r="F184" s="389"/>
      <c r="G184" s="690">
        <f>SUM(G175:G182)</f>
        <v>0</v>
      </c>
      <c r="H184" s="392"/>
      <c r="I184" s="392"/>
      <c r="J184" s="392"/>
    </row>
    <row r="185" spans="2:14" x14ac:dyDescent="0.25">
      <c r="M185" s="610"/>
    </row>
    <row r="186" spans="2:14" x14ac:dyDescent="0.25">
      <c r="M186" s="610"/>
    </row>
    <row r="187" spans="2:14" ht="13" x14ac:dyDescent="0.3">
      <c r="B187" s="902" t="s">
        <v>131</v>
      </c>
      <c r="C187" s="903"/>
      <c r="D187" s="903"/>
      <c r="E187" s="903"/>
      <c r="F187" s="904"/>
      <c r="G187" s="904"/>
      <c r="H187" s="904"/>
      <c r="I187" s="904"/>
      <c r="J187" s="904"/>
      <c r="K187" s="904"/>
      <c r="L187" s="904"/>
      <c r="M187" s="905"/>
      <c r="N187" s="904"/>
    </row>
    <row r="188" spans="2:14" x14ac:dyDescent="0.25">
      <c r="M188" s="610"/>
    </row>
    <row r="189" spans="2:14" ht="13" x14ac:dyDescent="0.3">
      <c r="B189" s="18" t="s">
        <v>362</v>
      </c>
      <c r="F189" s="895">
        <v>2017</v>
      </c>
      <c r="M189" s="610"/>
    </row>
    <row r="190" spans="2:14" x14ac:dyDescent="0.25">
      <c r="L190" s="610"/>
      <c r="M190" s="20"/>
    </row>
    <row r="191" spans="2:14" ht="82.5" customHeight="1" x14ac:dyDescent="0.25">
      <c r="B191" s="1060" t="s">
        <v>363</v>
      </c>
      <c r="C191" s="1061"/>
      <c r="D191" s="1061"/>
      <c r="E191" s="1062"/>
      <c r="F191" s="599"/>
      <c r="G191" s="675" t="str">
        <f>"Nog af te bouwen regulatoir saldo einde "&amp;F189-1</f>
        <v>Nog af te bouwen regulatoir saldo einde 2016</v>
      </c>
      <c r="H191" s="675" t="str">
        <f>"Afbouw oudste openstaande regulatoir saldo vanaf boekjaar "&amp;F189-3&amp;" en vroeger, door aanwending van compensatie met regulatoir saldo ontstaan over boekjaar "&amp;F189-2</f>
        <v>Afbouw oudste openstaande regulatoir saldo vanaf boekjaar 2014 en vroeger, door aanwending van compensatie met regulatoir saldo ontstaan over boekjaar 2015</v>
      </c>
      <c r="I191" s="675" t="str">
        <f>"Nog af te bouwen regulatoir saldo na compensatie einde "&amp;F189-1</f>
        <v>Nog af te bouwen regulatoir saldo na compensatie einde 2016</v>
      </c>
      <c r="J191" s="675" t="str">
        <f>"Aanwending van 60% van het geaccumuleerd regulatoir saldo door te rekenen volgens de tariefmethodologie in het boekjaar "&amp;F189</f>
        <v>Aanwending van 60% van het geaccumuleerd regulatoir saldo door te rekenen volgens de tariefmethodologie in het boekjaar 2017</v>
      </c>
      <c r="K191" s="675" t="str">
        <f>"Nog af te bouwen regulatoir saldo einde "&amp;F189</f>
        <v>Nog af te bouwen regulatoir saldo einde 2017</v>
      </c>
      <c r="L191" s="610"/>
      <c r="M191" s="20"/>
    </row>
    <row r="192" spans="2:14" ht="13" x14ac:dyDescent="0.25">
      <c r="B192" s="1057">
        <v>2015</v>
      </c>
      <c r="C192" s="1058"/>
      <c r="D192" s="1058"/>
      <c r="E192" s="1059"/>
      <c r="F192" s="896"/>
      <c r="G192" s="839">
        <f>G105</f>
        <v>0</v>
      </c>
      <c r="H192" s="897">
        <v>0</v>
      </c>
      <c r="I192" s="839">
        <f>+G192+H192</f>
        <v>0</v>
      </c>
      <c r="J192" s="839">
        <f>-I192*0.6</f>
        <v>0</v>
      </c>
      <c r="K192" s="908">
        <f>+J192+G192</f>
        <v>0</v>
      </c>
      <c r="L192" s="610"/>
      <c r="M192" s="20"/>
    </row>
    <row r="193" spans="2:15" x14ac:dyDescent="0.25">
      <c r="L193" s="610"/>
      <c r="M193" s="20"/>
    </row>
    <row r="194" spans="2:15" ht="13" x14ac:dyDescent="0.3">
      <c r="B194" s="18" t="s">
        <v>362</v>
      </c>
      <c r="F194" s="895">
        <v>2018</v>
      </c>
      <c r="M194" s="610"/>
    </row>
    <row r="195" spans="2:15" x14ac:dyDescent="0.25">
      <c r="M195" s="610"/>
    </row>
    <row r="196" spans="2:15" ht="69.75" customHeight="1" x14ac:dyDescent="0.25">
      <c r="B196" s="1060" t="s">
        <v>363</v>
      </c>
      <c r="C196" s="1061"/>
      <c r="D196" s="1061"/>
      <c r="E196" s="1062"/>
      <c r="F196" s="599"/>
      <c r="G196" s="675" t="str">
        <f>"Nog af te bouwen regulatoir saldo einde "&amp;F194-1</f>
        <v>Nog af te bouwen regulatoir saldo einde 2017</v>
      </c>
      <c r="H196" s="675" t="str">
        <f>"Afbouw oudste openstaande regulatoir saldo vanaf boekjaar "&amp;F194-3&amp;" en vroeger, door aanwending van compensatie met regulatoir saldo ontstaan over boekjaar "&amp;F194-2</f>
        <v>Afbouw oudste openstaande regulatoir saldo vanaf boekjaar 2015 en vroeger, door aanwending van compensatie met regulatoir saldo ontstaan over boekjaar 2016</v>
      </c>
      <c r="I196" s="675" t="str">
        <f>"Nog af te bouwen regulatoir saldo na compensatie einde "&amp;F194-1</f>
        <v>Nog af te bouwen regulatoir saldo na compensatie einde 2017</v>
      </c>
      <c r="J196" s="675" t="str">
        <f>"60% van het geaccumuleerd regulatoir saldo door te rekenen volgens de tariefmethodologie in het boekjaar "&amp;F194</f>
        <v>60% van het geaccumuleerd regulatoir saldo door te rekenen volgens de tariefmethodologie in het boekjaar 2018</v>
      </c>
      <c r="K196" s="675" t="str">
        <f>"Aanwending van 60% van het geaccumuleerd regulatoir saldo door te rekenen volgens de tariefmethodologie in het boekjaar "&amp;F194</f>
        <v>Aanwending van 60% van het geaccumuleerd regulatoir saldo door te rekenen volgens de tariefmethodologie in het boekjaar 2018</v>
      </c>
      <c r="L196" s="675" t="str">
        <f>"Totale afbouw over "&amp;F194</f>
        <v>Totale afbouw over 2018</v>
      </c>
      <c r="M196" s="20"/>
      <c r="N196" s="675" t="str">
        <f>"Nog af te bouwen regulatoir saldo einde "&amp;F194</f>
        <v>Nog af te bouwen regulatoir saldo einde 2018</v>
      </c>
      <c r="O196" s="610"/>
    </row>
    <row r="197" spans="2:15" ht="13" x14ac:dyDescent="0.25">
      <c r="B197" s="1057">
        <v>2015</v>
      </c>
      <c r="C197" s="1058"/>
      <c r="D197" s="1058"/>
      <c r="E197" s="1059"/>
      <c r="F197" s="896"/>
      <c r="G197" s="839">
        <f>K192</f>
        <v>0</v>
      </c>
      <c r="H197" s="897">
        <f>IF(SIGN(G198*K192)&lt;0,IF(G197&lt;&gt;0,-SIGN(G197)*MIN(ABS(G198),ABS(G197)),0),0)</f>
        <v>0</v>
      </c>
      <c r="I197" s="839">
        <f>+G197+H197</f>
        <v>0</v>
      </c>
      <c r="J197" s="698"/>
      <c r="K197" s="897">
        <f>-MIN(ABS(I197),ABS(J199))*SIGN(I197)</f>
        <v>0</v>
      </c>
      <c r="L197" s="898">
        <f>+K197+H197</f>
        <v>0</v>
      </c>
      <c r="M197" s="20"/>
      <c r="N197" s="839">
        <f>+I197+K197</f>
        <v>0</v>
      </c>
      <c r="O197" s="610"/>
    </row>
    <row r="198" spans="2:15" ht="13" x14ac:dyDescent="0.25">
      <c r="B198" s="1057">
        <v>2016</v>
      </c>
      <c r="C198" s="1058"/>
      <c r="D198" s="1058"/>
      <c r="E198" s="1059"/>
      <c r="F198" s="896"/>
      <c r="G198" s="839">
        <f>H106</f>
        <v>0</v>
      </c>
      <c r="H198" s="898">
        <f>IF(SIGN(G198*K192)&lt;0,-H197,0)</f>
        <v>0</v>
      </c>
      <c r="I198" s="839">
        <f>+G198+H198</f>
        <v>0</v>
      </c>
      <c r="J198" s="698"/>
      <c r="K198" s="897">
        <f>-MIN(ABS(I198),ABS(J199-K197))*SIGN(I198)</f>
        <v>0</v>
      </c>
      <c r="L198" s="898">
        <f>+K198+H198</f>
        <v>0</v>
      </c>
      <c r="M198" s="20"/>
      <c r="N198" s="839">
        <f>+I198+K198</f>
        <v>0</v>
      </c>
      <c r="O198" s="610"/>
    </row>
    <row r="199" spans="2:15" s="18" customFormat="1" ht="13" x14ac:dyDescent="0.3">
      <c r="G199" s="899">
        <f>SUM(G197:G198)</f>
        <v>0</v>
      </c>
      <c r="H199" s="899">
        <f>SUM(H197:H198)</f>
        <v>0</v>
      </c>
      <c r="I199" s="899">
        <f>SUM(I197:I198)</f>
        <v>0</v>
      </c>
      <c r="J199" s="899">
        <f>-I199*0.6</f>
        <v>0</v>
      </c>
      <c r="K199" s="900">
        <f>SUM(K197:K198)</f>
        <v>0</v>
      </c>
      <c r="L199" s="901"/>
      <c r="N199" s="899">
        <f>SUM(N197:N198)</f>
        <v>0</v>
      </c>
    </row>
    <row r="200" spans="2:15" x14ac:dyDescent="0.25">
      <c r="M200" s="610"/>
    </row>
    <row r="201" spans="2:15" ht="13" x14ac:dyDescent="0.3">
      <c r="B201" s="18" t="s">
        <v>362</v>
      </c>
      <c r="F201" s="895">
        <v>2019</v>
      </c>
      <c r="M201" s="20"/>
    </row>
    <row r="202" spans="2:15" x14ac:dyDescent="0.25">
      <c r="M202" s="20"/>
    </row>
    <row r="203" spans="2:15" ht="75.75" customHeight="1" x14ac:dyDescent="0.25">
      <c r="B203" s="1060" t="s">
        <v>363</v>
      </c>
      <c r="C203" s="1061"/>
      <c r="D203" s="1061"/>
      <c r="E203" s="1062"/>
      <c r="F203" s="599"/>
      <c r="G203" s="675" t="str">
        <f>"Nog af te bouwen regulatoir saldo einde "&amp;F201-1</f>
        <v>Nog af te bouwen regulatoir saldo einde 2018</v>
      </c>
      <c r="H203" s="675" t="str">
        <f>"Afbouw oudste openstaande regulatoir saldo vanaf boekjaar "&amp;F201-3&amp;" en vroeger, door aanwending van compensatie met regulatoir saldo ontstaan over boekjaar "&amp;F201-2</f>
        <v>Afbouw oudste openstaande regulatoir saldo vanaf boekjaar 2016 en vroeger, door aanwending van compensatie met regulatoir saldo ontstaan over boekjaar 2017</v>
      </c>
      <c r="I203" s="675" t="str">
        <f>"Nog af te bouwen regulatoir saldo na compensatie einde "&amp;F201-1</f>
        <v>Nog af te bouwen regulatoir saldo na compensatie einde 2018</v>
      </c>
      <c r="J203" s="675" t="str">
        <f>"60% van het geaccumuleerd regulatoir saldo door te rekenen volgens de tariefmethodologie in het boekjaar "&amp;F201</f>
        <v>60% van het geaccumuleerd regulatoir saldo door te rekenen volgens de tariefmethodologie in het boekjaar 2019</v>
      </c>
      <c r="K203" s="675" t="str">
        <f>"Aanwending van het 60% van het geaccumuleerd regulatoir saldo door te rekenen volgens de tariefmethodologie in het boekjaar "&amp;F201</f>
        <v>Aanwending van het 60% van het geaccumuleerd regulatoir saldo door te rekenen volgens de tariefmethodologie in het boekjaar 2019</v>
      </c>
      <c r="L203" s="675" t="str">
        <f>"Totale afbouw over "&amp;F201</f>
        <v>Totale afbouw over 2019</v>
      </c>
      <c r="M203" s="20"/>
      <c r="N203" s="675" t="str">
        <f>"Nog af te bouwen regulatoir saldo einde "&amp;F201</f>
        <v>Nog af te bouwen regulatoir saldo einde 2019</v>
      </c>
      <c r="O203" s="610"/>
    </row>
    <row r="204" spans="2:15" ht="13" x14ac:dyDescent="0.25">
      <c r="B204" s="1057">
        <v>2015</v>
      </c>
      <c r="C204" s="1058"/>
      <c r="D204" s="1058"/>
      <c r="E204" s="1059"/>
      <c r="F204" s="896"/>
      <c r="G204" s="839">
        <f>+N197</f>
        <v>0</v>
      </c>
      <c r="H204" s="898">
        <f>IF(SIGN(G206*N199)&lt;0,IF(G204&lt;&gt;0,-SIGN(G204)*MIN(ABS(G206),ABS(G204)),0),0)</f>
        <v>0</v>
      </c>
      <c r="I204" s="839">
        <f>+G204+H204</f>
        <v>0</v>
      </c>
      <c r="J204" s="698"/>
      <c r="K204" s="897">
        <f>-MIN(ABS(I204),ABS(J207))*SIGN(I204)</f>
        <v>0</v>
      </c>
      <c r="L204" s="898">
        <f>+K204+H204</f>
        <v>0</v>
      </c>
      <c r="M204" s="20"/>
      <c r="N204" s="839">
        <f>+I204+K204</f>
        <v>0</v>
      </c>
      <c r="O204" s="610"/>
    </row>
    <row r="205" spans="2:15" ht="13" x14ac:dyDescent="0.25">
      <c r="B205" s="1057">
        <v>2016</v>
      </c>
      <c r="C205" s="1058"/>
      <c r="D205" s="1058">
        <v>2016</v>
      </c>
      <c r="E205" s="1059"/>
      <c r="F205" s="896"/>
      <c r="G205" s="839">
        <f>+N198</f>
        <v>0</v>
      </c>
      <c r="H205" s="898">
        <f>IF(SIGN(G206*N199)&lt;0,IF(G205&lt;&gt;0,-SIGN(G205)*MIN(ABS(G206-H204),ABS(G205)),0),0)</f>
        <v>0</v>
      </c>
      <c r="I205" s="839">
        <f>+G205+H205</f>
        <v>0</v>
      </c>
      <c r="J205" s="698"/>
      <c r="K205" s="897">
        <f>-MIN(ABS(I205),ABS(J207-K204))*SIGN(I205)</f>
        <v>0</v>
      </c>
      <c r="L205" s="898">
        <f>+K205+H205</f>
        <v>0</v>
      </c>
      <c r="M205" s="20"/>
      <c r="N205" s="839">
        <f>+I205+K205</f>
        <v>0</v>
      </c>
      <c r="O205" s="610"/>
    </row>
    <row r="206" spans="2:15" ht="13" x14ac:dyDescent="0.25">
      <c r="B206" s="1057">
        <v>2017</v>
      </c>
      <c r="C206" s="1058"/>
      <c r="D206" s="1058"/>
      <c r="E206" s="1059"/>
      <c r="F206" s="896"/>
      <c r="G206" s="839">
        <f>I107</f>
        <v>0</v>
      </c>
      <c r="H206" s="898">
        <f>IF(SIGN(G206*N199)&lt;0,-SUM(H204:H205),0)</f>
        <v>0</v>
      </c>
      <c r="I206" s="839">
        <f>+G206+H206</f>
        <v>0</v>
      </c>
      <c r="J206" s="698"/>
      <c r="K206" s="897">
        <f>-MIN(ABS(I206),ABS(J207-K204-K205))*SIGN(I206)</f>
        <v>0</v>
      </c>
      <c r="L206" s="898">
        <f>+K206+H206</f>
        <v>0</v>
      </c>
      <c r="M206" s="20"/>
      <c r="N206" s="839">
        <f>+I206+K206</f>
        <v>0</v>
      </c>
      <c r="O206" s="610"/>
    </row>
    <row r="207" spans="2:15" s="18" customFormat="1" ht="13" x14ac:dyDescent="0.3">
      <c r="G207" s="899">
        <f>SUM(G204:G206)</f>
        <v>0</v>
      </c>
      <c r="H207" s="899">
        <f>SUM(H204:H206)</f>
        <v>0</v>
      </c>
      <c r="I207" s="899">
        <f>SUM(I204:I206)</f>
        <v>0</v>
      </c>
      <c r="J207" s="899">
        <f>-I207*0.6</f>
        <v>0</v>
      </c>
      <c r="K207" s="900">
        <f>SUM(K204:K206)</f>
        <v>0</v>
      </c>
      <c r="L207" s="901"/>
      <c r="N207" s="899">
        <f>SUM(N204:N206)</f>
        <v>0</v>
      </c>
    </row>
    <row r="208" spans="2:15" x14ac:dyDescent="0.25">
      <c r="M208" s="610"/>
    </row>
    <row r="209" spans="2:15" ht="13" x14ac:dyDescent="0.3">
      <c r="B209" s="18" t="s">
        <v>362</v>
      </c>
      <c r="F209" s="895">
        <v>2020</v>
      </c>
      <c r="M209" s="20"/>
    </row>
    <row r="210" spans="2:15" x14ac:dyDescent="0.25">
      <c r="M210" s="20"/>
    </row>
    <row r="211" spans="2:15" ht="78" customHeight="1" x14ac:dyDescent="0.25">
      <c r="B211" s="1060" t="s">
        <v>363</v>
      </c>
      <c r="C211" s="1061"/>
      <c r="D211" s="1061"/>
      <c r="E211" s="1062"/>
      <c r="F211" s="599"/>
      <c r="G211" s="675" t="str">
        <f>"Nog af te bouwen regulatoir saldo einde "&amp;F209-1</f>
        <v>Nog af te bouwen regulatoir saldo einde 2019</v>
      </c>
      <c r="H211" s="675" t="str">
        <f>"Afbouw oudste openstaande regulatoir saldo vanaf boekjaar "&amp;F209-3&amp;" en vroeger, door aanwending van compensatie met regulatoir saldo ontstaan over boekjaar "&amp;F209-2</f>
        <v>Afbouw oudste openstaande regulatoir saldo vanaf boekjaar 2017 en vroeger, door aanwending van compensatie met regulatoir saldo ontstaan over boekjaar 2018</v>
      </c>
      <c r="I211" s="675" t="str">
        <f>"Nog af te bouwen regulatoir saldo na compensatie einde "&amp;F209-1</f>
        <v>Nog af te bouwen regulatoir saldo na compensatie einde 2019</v>
      </c>
      <c r="J211" s="675" t="str">
        <f>"60% van het geaccumuleerd regulatoir saldo door te rekenen volgens de tariefmethodologie in het boekjaar "&amp;F209</f>
        <v>60% van het geaccumuleerd regulatoir saldo door te rekenen volgens de tariefmethodologie in het boekjaar 2020</v>
      </c>
      <c r="K211" s="675" t="str">
        <f>"Aanwending van het 60% van het geaccumuleerd regulatoir saldo door te rekenen volgens de tariefmethodologie in het boekjaar "&amp;F209</f>
        <v>Aanwending van het 60% van het geaccumuleerd regulatoir saldo door te rekenen volgens de tariefmethodologie in het boekjaar 2020</v>
      </c>
      <c r="L211" s="675" t="str">
        <f>"Totale afbouw over "&amp;F209</f>
        <v>Totale afbouw over 2020</v>
      </c>
      <c r="M211" s="20"/>
      <c r="N211" s="675" t="str">
        <f>"Nog af te bouwen regulatoir saldo einde "&amp;F209</f>
        <v>Nog af te bouwen regulatoir saldo einde 2020</v>
      </c>
      <c r="O211" s="610"/>
    </row>
    <row r="212" spans="2:15" ht="13" x14ac:dyDescent="0.25">
      <c r="B212" s="1057">
        <v>2015</v>
      </c>
      <c r="C212" s="1058"/>
      <c r="D212" s="1058"/>
      <c r="E212" s="1059"/>
      <c r="F212" s="896"/>
      <c r="G212" s="839">
        <f>+N204</f>
        <v>0</v>
      </c>
      <c r="H212" s="898">
        <f>IF(SIGN(G215*N207)&lt;0,IF(G212&lt;&gt;0,-SIGN(G212)*MIN(ABS(G215),ABS(G212)),0),0)</f>
        <v>0</v>
      </c>
      <c r="I212" s="839">
        <f>+G212+H212</f>
        <v>0</v>
      </c>
      <c r="J212" s="698"/>
      <c r="K212" s="897">
        <f>-MIN(ABS(I212),ABS(J216))*SIGN(I212)</f>
        <v>0</v>
      </c>
      <c r="L212" s="898">
        <f>+K212+H212</f>
        <v>0</v>
      </c>
      <c r="M212" s="20"/>
      <c r="N212" s="839">
        <f>+I212+K212</f>
        <v>0</v>
      </c>
      <c r="O212" s="610"/>
    </row>
    <row r="213" spans="2:15" ht="13" x14ac:dyDescent="0.25">
      <c r="B213" s="1057">
        <v>2016</v>
      </c>
      <c r="C213" s="1058"/>
      <c r="D213" s="1058"/>
      <c r="E213" s="1059"/>
      <c r="F213" s="896"/>
      <c r="G213" s="839">
        <f>+N205</f>
        <v>0</v>
      </c>
      <c r="H213" s="898">
        <f>IF(SIGN(G215*N207)&lt;0,IF(G213&lt;&gt;0,-SIGN(G213)*MIN(ABS(G215-H212),ABS(G213)),0),0)</f>
        <v>0</v>
      </c>
      <c r="I213" s="839">
        <f>+G213+H213</f>
        <v>0</v>
      </c>
      <c r="J213" s="698"/>
      <c r="K213" s="897">
        <f>-MIN(ABS(I213),ABS(J216-K212))*SIGN(I213)</f>
        <v>0</v>
      </c>
      <c r="L213" s="898">
        <f>+K213+H213</f>
        <v>0</v>
      </c>
      <c r="M213" s="20"/>
      <c r="N213" s="839">
        <f>+I213+K213</f>
        <v>0</v>
      </c>
      <c r="O213" s="610"/>
    </row>
    <row r="214" spans="2:15" ht="13" x14ac:dyDescent="0.25">
      <c r="B214" s="1057">
        <v>2017</v>
      </c>
      <c r="C214" s="1058"/>
      <c r="D214" s="1058">
        <v>2016</v>
      </c>
      <c r="E214" s="1059"/>
      <c r="F214" s="896"/>
      <c r="G214" s="839">
        <f>+N206</f>
        <v>0</v>
      </c>
      <c r="H214" s="898">
        <f>IF(SIGN(G215*N207)&lt;0,IF(G214&lt;&gt;0,-SIGN(G214)*MIN(ABS(G215-H212-H213),ABS(G214)),0),0)</f>
        <v>0</v>
      </c>
      <c r="I214" s="839">
        <f>+G214+H214</f>
        <v>0</v>
      </c>
      <c r="J214" s="698"/>
      <c r="K214" s="897">
        <f>-MIN(ABS(I214),ABS(J216-K212-K213))*SIGN(I214)</f>
        <v>0</v>
      </c>
      <c r="L214" s="898">
        <f>+K214+H214</f>
        <v>0</v>
      </c>
      <c r="M214" s="20"/>
      <c r="N214" s="839">
        <f>+I214+K214</f>
        <v>0</v>
      </c>
      <c r="O214" s="610"/>
    </row>
    <row r="215" spans="2:15" ht="13" x14ac:dyDescent="0.25">
      <c r="B215" s="1057">
        <v>2018</v>
      </c>
      <c r="C215" s="1058"/>
      <c r="D215" s="1058"/>
      <c r="E215" s="1059"/>
      <c r="F215" s="896"/>
      <c r="G215" s="839">
        <f>J108</f>
        <v>0</v>
      </c>
      <c r="H215" s="898">
        <f>IF(SIGN(G215*N207)&lt;0,-SUM(H212:H214),0)</f>
        <v>0</v>
      </c>
      <c r="I215" s="839">
        <f>+G215+H215</f>
        <v>0</v>
      </c>
      <c r="J215" s="698"/>
      <c r="K215" s="897">
        <f>-MIN(ABS(I215),ABS(J216-K212-K213-K214))*SIGN(I215)</f>
        <v>0</v>
      </c>
      <c r="L215" s="898">
        <f>+K215+H215</f>
        <v>0</v>
      </c>
      <c r="M215" s="20"/>
      <c r="N215" s="839">
        <f>+I215+K215</f>
        <v>0</v>
      </c>
      <c r="O215" s="610"/>
    </row>
    <row r="216" spans="2:15" s="18" customFormat="1" ht="13" x14ac:dyDescent="0.3">
      <c r="G216" s="899">
        <f>SUM(G212:G215)</f>
        <v>0</v>
      </c>
      <c r="H216" s="899">
        <f>SUM(H212:H215)</f>
        <v>0</v>
      </c>
      <c r="I216" s="899">
        <f>SUM(I212:I215)</f>
        <v>0</v>
      </c>
      <c r="J216" s="899">
        <f>-I216*0.6</f>
        <v>0</v>
      </c>
      <c r="K216" s="900">
        <f>SUM(K212:K215)</f>
        <v>0</v>
      </c>
      <c r="L216" s="900"/>
      <c r="N216" s="899">
        <f>SUM(N212:N215)</f>
        <v>0</v>
      </c>
    </row>
    <row r="219" spans="2:15" ht="13" x14ac:dyDescent="0.3">
      <c r="B219" s="18" t="s">
        <v>364</v>
      </c>
      <c r="C219" s="381"/>
      <c r="D219" s="381"/>
      <c r="E219" s="381"/>
    </row>
    <row r="220" spans="2:15" ht="13" x14ac:dyDescent="0.3">
      <c r="B220" s="18"/>
      <c r="C220" s="381"/>
      <c r="D220" s="381"/>
      <c r="E220" s="381"/>
    </row>
    <row r="221" spans="2:15" ht="13" x14ac:dyDescent="0.3">
      <c r="B221" s="864">
        <f>F189</f>
        <v>2017</v>
      </c>
      <c r="C221" s="906">
        <f>J192</f>
        <v>0</v>
      </c>
      <c r="D221" s="381"/>
      <c r="E221" s="381"/>
    </row>
    <row r="222" spans="2:15" ht="13" x14ac:dyDescent="0.3">
      <c r="B222" s="864">
        <f>F194</f>
        <v>2018</v>
      </c>
      <c r="C222" s="906">
        <f>K199</f>
        <v>0</v>
      </c>
      <c r="D222" s="381"/>
      <c r="E222" s="381"/>
    </row>
    <row r="223" spans="2:15" ht="13" x14ac:dyDescent="0.3">
      <c r="B223" s="864">
        <f>F201</f>
        <v>2019</v>
      </c>
      <c r="C223" s="906">
        <f>K207</f>
        <v>0</v>
      </c>
      <c r="D223" s="381"/>
      <c r="E223" s="381"/>
    </row>
    <row r="224" spans="2:15" ht="13" x14ac:dyDescent="0.3">
      <c r="B224" s="864">
        <f>F209</f>
        <v>2020</v>
      </c>
      <c r="C224" s="906">
        <f>K216</f>
        <v>0</v>
      </c>
      <c r="D224" s="381"/>
      <c r="E224" s="381"/>
    </row>
    <row r="225" spans="2:15" x14ac:dyDescent="0.25">
      <c r="M225" s="610"/>
    </row>
    <row r="226" spans="2:15" x14ac:dyDescent="0.25">
      <c r="M226" s="610"/>
    </row>
    <row r="227" spans="2:15" ht="13" x14ac:dyDescent="0.3">
      <c r="B227" s="902" t="s">
        <v>132</v>
      </c>
      <c r="C227" s="903"/>
      <c r="D227" s="903"/>
      <c r="E227" s="903"/>
      <c r="F227" s="904"/>
      <c r="G227" s="904"/>
      <c r="H227" s="904"/>
      <c r="I227" s="904"/>
      <c r="J227" s="904"/>
      <c r="K227" s="904"/>
      <c r="L227" s="904"/>
      <c r="M227" s="905"/>
      <c r="N227" s="904"/>
    </row>
    <row r="228" spans="2:15" x14ac:dyDescent="0.25">
      <c r="M228" s="610"/>
    </row>
    <row r="229" spans="2:15" ht="13" x14ac:dyDescent="0.3">
      <c r="B229" s="18" t="s">
        <v>362</v>
      </c>
      <c r="F229" s="895">
        <v>2017</v>
      </c>
      <c r="M229" s="610"/>
    </row>
    <row r="230" spans="2:15" x14ac:dyDescent="0.25">
      <c r="L230" s="610"/>
      <c r="M230" s="20"/>
    </row>
    <row r="231" spans="2:15" ht="71.25" customHeight="1" x14ac:dyDescent="0.25">
      <c r="B231" s="1060" t="s">
        <v>363</v>
      </c>
      <c r="C231" s="1061"/>
      <c r="D231" s="1061"/>
      <c r="E231" s="1062"/>
      <c r="F231" s="599"/>
      <c r="G231" s="675" t="str">
        <f>"Nog af te bouwen regulatoir saldo einde "&amp;F229-1</f>
        <v>Nog af te bouwen regulatoir saldo einde 2016</v>
      </c>
      <c r="H231" s="675" t="str">
        <f>"Afbouw oudste openstaande regulatoir saldo vanaf boekjaar "&amp;F229-3&amp;" en vroeger, door aanwending van compensatie met regulatoir saldo ontstaan over boekjaar "&amp;F229-2</f>
        <v>Afbouw oudste openstaande regulatoir saldo vanaf boekjaar 2014 en vroeger, door aanwending van compensatie met regulatoir saldo ontstaan over boekjaar 2015</v>
      </c>
      <c r="I231" s="675" t="str">
        <f>"Nog af te bouwen regulatoir saldo na compensatie einde "&amp;F229-1</f>
        <v>Nog af te bouwen regulatoir saldo na compensatie einde 2016</v>
      </c>
      <c r="J231" s="675" t="str">
        <f>"Aanwending van 60% van het geaccumuleerd regulatoir saldo door te rekenen volgens de tariefmethodologie in het boekjaar "&amp;F229</f>
        <v>Aanwending van 60% van het geaccumuleerd regulatoir saldo door te rekenen volgens de tariefmethodologie in het boekjaar 2017</v>
      </c>
      <c r="K231" s="675" t="str">
        <f>"Nog af te bouwen regulatoir saldo einde "&amp;F229</f>
        <v>Nog af te bouwen regulatoir saldo einde 2017</v>
      </c>
      <c r="L231" s="610"/>
      <c r="M231" s="20"/>
    </row>
    <row r="232" spans="2:15" ht="13" x14ac:dyDescent="0.25">
      <c r="B232" s="1057">
        <v>2015</v>
      </c>
      <c r="C232" s="1058"/>
      <c r="D232" s="1058"/>
      <c r="E232" s="1059"/>
      <c r="F232" s="896"/>
      <c r="G232" s="839">
        <f>G112</f>
        <v>0</v>
      </c>
      <c r="H232" s="897">
        <v>0</v>
      </c>
      <c r="I232" s="839">
        <f>+G232+H232</f>
        <v>0</v>
      </c>
      <c r="J232" s="839">
        <f>-I232*0.6</f>
        <v>0</v>
      </c>
      <c r="K232" s="908">
        <f>+J232+G232</f>
        <v>0</v>
      </c>
      <c r="L232" s="610"/>
      <c r="M232" s="20"/>
    </row>
    <row r="233" spans="2:15" x14ac:dyDescent="0.25">
      <c r="L233" s="610"/>
      <c r="M233" s="20"/>
    </row>
    <row r="234" spans="2:15" ht="13" x14ac:dyDescent="0.3">
      <c r="B234" s="18" t="s">
        <v>362</v>
      </c>
      <c r="F234" s="895">
        <v>2018</v>
      </c>
      <c r="M234" s="610"/>
    </row>
    <row r="235" spans="2:15" x14ac:dyDescent="0.25">
      <c r="M235" s="610"/>
    </row>
    <row r="236" spans="2:15" ht="69.75" customHeight="1" x14ac:dyDescent="0.25">
      <c r="B236" s="1060" t="s">
        <v>363</v>
      </c>
      <c r="C236" s="1061"/>
      <c r="D236" s="1061"/>
      <c r="E236" s="1062"/>
      <c r="F236" s="599"/>
      <c r="G236" s="675" t="str">
        <f>"Nog af te bouwen regulatoir saldo einde "&amp;F234-1</f>
        <v>Nog af te bouwen regulatoir saldo einde 2017</v>
      </c>
      <c r="H236" s="675" t="str">
        <f>"Afbouw oudste openstaande regulatoir saldo vanaf boekjaar "&amp;F234-3&amp;" en vroeger, door aanwending van compensatie met regulatoir saldo ontstaan over boekjaar "&amp;F234-2</f>
        <v>Afbouw oudste openstaande regulatoir saldo vanaf boekjaar 2015 en vroeger, door aanwending van compensatie met regulatoir saldo ontstaan over boekjaar 2016</v>
      </c>
      <c r="I236" s="675" t="str">
        <f>"Nog af te bouwen regulatoir saldo na compensatie einde "&amp;F234-1</f>
        <v>Nog af te bouwen regulatoir saldo na compensatie einde 2017</v>
      </c>
      <c r="J236" s="675" t="str">
        <f>"60% van het geaccumuleerd regulatoir saldo door te rekenen volgens de tariefmethodologie in het boekjaar "&amp;F234</f>
        <v>60% van het geaccumuleerd regulatoir saldo door te rekenen volgens de tariefmethodologie in het boekjaar 2018</v>
      </c>
      <c r="K236" s="675" t="str">
        <f>"Aanwending van het 60% van het geaccumuleerd regulatoir saldo door te rekenen volgens de tariefmethodologie in het boekjaar "&amp;F234</f>
        <v>Aanwending van het 60% van het geaccumuleerd regulatoir saldo door te rekenen volgens de tariefmethodologie in het boekjaar 2018</v>
      </c>
      <c r="L236" s="675" t="str">
        <f>"Totale afbouw over "&amp;F234</f>
        <v>Totale afbouw over 2018</v>
      </c>
      <c r="M236" s="20"/>
      <c r="N236" s="675" t="str">
        <f>"Nog af te bouwen regulatoir saldo einde "&amp;F234</f>
        <v>Nog af te bouwen regulatoir saldo einde 2018</v>
      </c>
      <c r="O236" s="610"/>
    </row>
    <row r="237" spans="2:15" ht="13" x14ac:dyDescent="0.25">
      <c r="B237" s="1057">
        <v>2015</v>
      </c>
      <c r="C237" s="1058"/>
      <c r="D237" s="1058"/>
      <c r="E237" s="1059"/>
      <c r="F237" s="896"/>
      <c r="G237" s="839">
        <f>K232</f>
        <v>0</v>
      </c>
      <c r="H237" s="897">
        <f>IF(SIGN(G238*K232)&lt;0,IF(G237&lt;&gt;0,-SIGN(G237)*MIN(ABS(G238),ABS(G237)),0),0)</f>
        <v>0</v>
      </c>
      <c r="I237" s="839">
        <f>+G237+H237</f>
        <v>0</v>
      </c>
      <c r="J237" s="698"/>
      <c r="K237" s="897">
        <f>-MIN(ABS(I237),ABS(J239))*SIGN(I237)</f>
        <v>0</v>
      </c>
      <c r="L237" s="898">
        <f>+K237+H237</f>
        <v>0</v>
      </c>
      <c r="M237" s="20"/>
      <c r="N237" s="839">
        <f>+I237+K237</f>
        <v>0</v>
      </c>
      <c r="O237" s="610"/>
    </row>
    <row r="238" spans="2:15" ht="13" x14ac:dyDescent="0.25">
      <c r="B238" s="1057">
        <v>2016</v>
      </c>
      <c r="C238" s="1058"/>
      <c r="D238" s="1058"/>
      <c r="E238" s="1059"/>
      <c r="F238" s="896"/>
      <c r="G238" s="839">
        <f>H113</f>
        <v>0</v>
      </c>
      <c r="H238" s="898">
        <f>IF(SIGN(G238*K232)&lt;0,-H237,0)</f>
        <v>0</v>
      </c>
      <c r="I238" s="839">
        <f>+G238+H238</f>
        <v>0</v>
      </c>
      <c r="J238" s="698"/>
      <c r="K238" s="897">
        <f>-MIN(ABS(I238),ABS(J239-K237))*SIGN(I238)</f>
        <v>0</v>
      </c>
      <c r="L238" s="898">
        <f>+K238+H238</f>
        <v>0</v>
      </c>
      <c r="M238" s="20"/>
      <c r="N238" s="839">
        <f>+I238+K238</f>
        <v>0</v>
      </c>
      <c r="O238" s="610"/>
    </row>
    <row r="239" spans="2:15" s="18" customFormat="1" ht="13" x14ac:dyDescent="0.3">
      <c r="G239" s="899">
        <f>SUM(G237:G238)</f>
        <v>0</v>
      </c>
      <c r="H239" s="899">
        <f>SUM(H237:H238)</f>
        <v>0</v>
      </c>
      <c r="I239" s="899">
        <f>SUM(I237:I238)</f>
        <v>0</v>
      </c>
      <c r="J239" s="899">
        <f>-I239*0.6</f>
        <v>0</v>
      </c>
      <c r="K239" s="900">
        <f>SUM(K237:K238)</f>
        <v>0</v>
      </c>
      <c r="L239" s="901"/>
      <c r="N239" s="899">
        <f>SUM(N237:N238)</f>
        <v>0</v>
      </c>
    </row>
    <row r="240" spans="2:15" x14ac:dyDescent="0.25">
      <c r="M240" s="610"/>
    </row>
    <row r="241" spans="2:15" ht="13" x14ac:dyDescent="0.3">
      <c r="B241" s="18" t="s">
        <v>362</v>
      </c>
      <c r="F241" s="895">
        <v>2019</v>
      </c>
      <c r="M241" s="20"/>
    </row>
    <row r="242" spans="2:15" x14ac:dyDescent="0.25">
      <c r="M242" s="20"/>
    </row>
    <row r="243" spans="2:15" ht="72" customHeight="1" x14ac:dyDescent="0.25">
      <c r="B243" s="1060" t="s">
        <v>363</v>
      </c>
      <c r="C243" s="1061"/>
      <c r="D243" s="1061"/>
      <c r="E243" s="1062"/>
      <c r="F243" s="599"/>
      <c r="G243" s="675" t="str">
        <f>"Nog af te bouwen regulatoir saldo einde "&amp;F241-1</f>
        <v>Nog af te bouwen regulatoir saldo einde 2018</v>
      </c>
      <c r="H243" s="675" t="str">
        <f>"Afbouw oudste openstaande regulatoir saldo vanaf boekjaar "&amp;F241-3&amp;" en vroeger, door aanwending van compensatie met regulatoir saldo ontstaan over boekjaar "&amp;F241-2</f>
        <v>Afbouw oudste openstaande regulatoir saldo vanaf boekjaar 2016 en vroeger, door aanwending van compensatie met regulatoir saldo ontstaan over boekjaar 2017</v>
      </c>
      <c r="I243" s="675" t="str">
        <f>"Nog af te bouwen regulatoir saldo na compensatie einde "&amp;F241-1</f>
        <v>Nog af te bouwen regulatoir saldo na compensatie einde 2018</v>
      </c>
      <c r="J243" s="675" t="str">
        <f>"60% van het geaccumuleerd regulatoir saldo door te rekenen volgens de tariefmethodologie in het boekjaar "&amp;F241</f>
        <v>60% van het geaccumuleerd regulatoir saldo door te rekenen volgens de tariefmethodologie in het boekjaar 2019</v>
      </c>
      <c r="K243" s="675" t="str">
        <f>"Aanwending van het 60% van het geaccumuleerd regulatoir saldo door te rekenen volgens de tariefmethodologie in het boekjaar "&amp;F241</f>
        <v>Aanwending van het 60% van het geaccumuleerd regulatoir saldo door te rekenen volgens de tariefmethodologie in het boekjaar 2019</v>
      </c>
      <c r="L243" s="675" t="str">
        <f>"Totale afbouw over "&amp;F241</f>
        <v>Totale afbouw over 2019</v>
      </c>
      <c r="M243" s="20"/>
      <c r="N243" s="675" t="str">
        <f>"Nog af te bouwen regulatoir saldo einde "&amp;F241</f>
        <v>Nog af te bouwen regulatoir saldo einde 2019</v>
      </c>
      <c r="O243" s="610"/>
    </row>
    <row r="244" spans="2:15" ht="13" x14ac:dyDescent="0.25">
      <c r="B244" s="1057">
        <v>2015</v>
      </c>
      <c r="C244" s="1058"/>
      <c r="D244" s="1058"/>
      <c r="E244" s="1059"/>
      <c r="F244" s="896"/>
      <c r="G244" s="839">
        <f>+N237</f>
        <v>0</v>
      </c>
      <c r="H244" s="898">
        <f>IF(SIGN(G246*N239)&lt;0,IF(G244&lt;&gt;0,-SIGN(G244)*MIN(ABS(G246),ABS(G244)),0),0)</f>
        <v>0</v>
      </c>
      <c r="I244" s="839">
        <f>+G244+H244</f>
        <v>0</v>
      </c>
      <c r="J244" s="698"/>
      <c r="K244" s="897">
        <f>-MIN(ABS(I244),ABS(J247))*SIGN(I244)</f>
        <v>0</v>
      </c>
      <c r="L244" s="898">
        <f>+K244+H244</f>
        <v>0</v>
      </c>
      <c r="M244" s="20"/>
      <c r="N244" s="839">
        <f>+I244+K244</f>
        <v>0</v>
      </c>
      <c r="O244" s="610"/>
    </row>
    <row r="245" spans="2:15" ht="13" x14ac:dyDescent="0.25">
      <c r="B245" s="1057">
        <v>2016</v>
      </c>
      <c r="C245" s="1058"/>
      <c r="D245" s="1058">
        <v>2016</v>
      </c>
      <c r="E245" s="1059"/>
      <c r="F245" s="896"/>
      <c r="G245" s="839">
        <f>+N238</f>
        <v>0</v>
      </c>
      <c r="H245" s="898">
        <f>IF(SIGN(G246*N239)&lt;0,IF(G245&lt;&gt;0,-SIGN(G245)*MIN(ABS(G246-H244),ABS(G245)),0),0)</f>
        <v>0</v>
      </c>
      <c r="I245" s="839">
        <f>+G245+H245</f>
        <v>0</v>
      </c>
      <c r="J245" s="698"/>
      <c r="K245" s="897">
        <f>-MIN(ABS(I245),ABS(J247-K244))*SIGN(I245)</f>
        <v>0</v>
      </c>
      <c r="L245" s="898">
        <f>+K245+H245</f>
        <v>0</v>
      </c>
      <c r="M245" s="20"/>
      <c r="N245" s="839">
        <f>+I245+K245</f>
        <v>0</v>
      </c>
      <c r="O245" s="610"/>
    </row>
    <row r="246" spans="2:15" ht="13" x14ac:dyDescent="0.25">
      <c r="B246" s="1057">
        <v>2017</v>
      </c>
      <c r="C246" s="1058"/>
      <c r="D246" s="1058"/>
      <c r="E246" s="1059"/>
      <c r="F246" s="896"/>
      <c r="G246" s="839">
        <f>I114</f>
        <v>0</v>
      </c>
      <c r="H246" s="898">
        <f>IF(SIGN(G246*N239)&lt;0,-SUM(H244:H245),0)</f>
        <v>0</v>
      </c>
      <c r="I246" s="839">
        <f>+G246+H246</f>
        <v>0</v>
      </c>
      <c r="J246" s="698"/>
      <c r="K246" s="897">
        <f>-MIN(ABS(I246),ABS(J247-K244-K245))*SIGN(I246)</f>
        <v>0</v>
      </c>
      <c r="L246" s="898">
        <f>+K246+H246</f>
        <v>0</v>
      </c>
      <c r="M246" s="20"/>
      <c r="N246" s="839">
        <f>+I246+K246</f>
        <v>0</v>
      </c>
      <c r="O246" s="610"/>
    </row>
    <row r="247" spans="2:15" s="18" customFormat="1" ht="13" x14ac:dyDescent="0.3">
      <c r="G247" s="899">
        <f>SUM(G244:G246)</f>
        <v>0</v>
      </c>
      <c r="H247" s="899">
        <f>SUM(H244:H246)</f>
        <v>0</v>
      </c>
      <c r="I247" s="899">
        <f>SUM(I244:I246)</f>
        <v>0</v>
      </c>
      <c r="J247" s="899">
        <f>-I247*0.6</f>
        <v>0</v>
      </c>
      <c r="K247" s="900">
        <f>SUM(K244:K246)</f>
        <v>0</v>
      </c>
      <c r="L247" s="901"/>
      <c r="N247" s="899">
        <f>SUM(N244:N246)</f>
        <v>0</v>
      </c>
    </row>
    <row r="248" spans="2:15" x14ac:dyDescent="0.25">
      <c r="M248" s="610"/>
    </row>
    <row r="249" spans="2:15" ht="13" x14ac:dyDescent="0.3">
      <c r="B249" s="18" t="s">
        <v>362</v>
      </c>
      <c r="F249" s="895">
        <v>2020</v>
      </c>
      <c r="M249" s="20"/>
    </row>
    <row r="250" spans="2:15" x14ac:dyDescent="0.25">
      <c r="M250" s="20"/>
    </row>
    <row r="251" spans="2:15" ht="72.75" customHeight="1" x14ac:dyDescent="0.25">
      <c r="B251" s="1060" t="s">
        <v>363</v>
      </c>
      <c r="C251" s="1061"/>
      <c r="D251" s="1061"/>
      <c r="E251" s="1062"/>
      <c r="F251" s="599"/>
      <c r="G251" s="675" t="str">
        <f>"Nog af te bouwen regulatoir saldo einde "&amp;F249-1</f>
        <v>Nog af te bouwen regulatoir saldo einde 2019</v>
      </c>
      <c r="H251" s="675" t="str">
        <f>"Afbouw oudste openstaande regulatoir saldo vanaf boekjaar "&amp;F249-3&amp;" en vroeger, door aanwending van compensatie met regulatoir saldo ontstaan over boekjaar "&amp;F249-2</f>
        <v>Afbouw oudste openstaande regulatoir saldo vanaf boekjaar 2017 en vroeger, door aanwending van compensatie met regulatoir saldo ontstaan over boekjaar 2018</v>
      </c>
      <c r="I251" s="675" t="str">
        <f>"Nog af te bouwen regulatoir saldo na compensatie einde "&amp;F249-1</f>
        <v>Nog af te bouwen regulatoir saldo na compensatie einde 2019</v>
      </c>
      <c r="J251" s="675" t="str">
        <f>"60% van het geaccumuleerd regulatoir saldo door te rekenen volgens de tariefmethodologie in het boekjaar "&amp;F249</f>
        <v>60% van het geaccumuleerd regulatoir saldo door te rekenen volgens de tariefmethodologie in het boekjaar 2020</v>
      </c>
      <c r="K251" s="675" t="str">
        <f>"Aanwending van het 60% van het geaccumuleerd regulatoir saldo door te rekenen volgens de tariefmethodologie in het boekjaar "&amp;F249</f>
        <v>Aanwending van het 60% van het geaccumuleerd regulatoir saldo door te rekenen volgens de tariefmethodologie in het boekjaar 2020</v>
      </c>
      <c r="L251" s="675" t="str">
        <f>"Totale afbouw over "&amp;F249</f>
        <v>Totale afbouw over 2020</v>
      </c>
      <c r="M251" s="20"/>
      <c r="N251" s="675" t="str">
        <f>"Nog af te bouwen regulatoir saldo einde "&amp;F249</f>
        <v>Nog af te bouwen regulatoir saldo einde 2020</v>
      </c>
      <c r="O251" s="610"/>
    </row>
    <row r="252" spans="2:15" ht="13" x14ac:dyDescent="0.25">
      <c r="B252" s="1057">
        <v>2015</v>
      </c>
      <c r="C252" s="1058"/>
      <c r="D252" s="1058"/>
      <c r="E252" s="1059"/>
      <c r="F252" s="896"/>
      <c r="G252" s="839">
        <f>+N244</f>
        <v>0</v>
      </c>
      <c r="H252" s="898">
        <f>IF(SIGN(G255*N247)&lt;0,IF(G252&lt;&gt;0,-SIGN(G252)*MIN(ABS(G255),ABS(G252)),0),0)</f>
        <v>0</v>
      </c>
      <c r="I252" s="839">
        <f>+G252+H252</f>
        <v>0</v>
      </c>
      <c r="J252" s="698"/>
      <c r="K252" s="897">
        <f>-MIN(ABS(I252),ABS(J256))*SIGN(I252)</f>
        <v>0</v>
      </c>
      <c r="L252" s="898">
        <f>+K252+H252</f>
        <v>0</v>
      </c>
      <c r="M252" s="20"/>
      <c r="N252" s="839">
        <f>+I252+K252</f>
        <v>0</v>
      </c>
      <c r="O252" s="610"/>
    </row>
    <row r="253" spans="2:15" ht="13" x14ac:dyDescent="0.25">
      <c r="B253" s="1057">
        <v>2016</v>
      </c>
      <c r="C253" s="1058"/>
      <c r="D253" s="1058"/>
      <c r="E253" s="1059"/>
      <c r="F253" s="896"/>
      <c r="G253" s="839">
        <f>+N245</f>
        <v>0</v>
      </c>
      <c r="H253" s="898">
        <f>IF(SIGN(G255*N247)&lt;0,IF(G253&lt;&gt;0,-SIGN(G253)*MIN(ABS(G255-H252),ABS(G253)),0),0)</f>
        <v>0</v>
      </c>
      <c r="I253" s="839">
        <f>+G253+H253</f>
        <v>0</v>
      </c>
      <c r="J253" s="698"/>
      <c r="K253" s="897">
        <f>-MIN(ABS(I253),ABS(J256-K252))*SIGN(I253)</f>
        <v>0</v>
      </c>
      <c r="L253" s="898">
        <f>+K253+H253</f>
        <v>0</v>
      </c>
      <c r="M253" s="20"/>
      <c r="N253" s="839">
        <f>+I253+K253</f>
        <v>0</v>
      </c>
      <c r="O253" s="610"/>
    </row>
    <row r="254" spans="2:15" ht="13" x14ac:dyDescent="0.25">
      <c r="B254" s="1057">
        <v>2017</v>
      </c>
      <c r="C254" s="1058"/>
      <c r="D254" s="1058">
        <v>2016</v>
      </c>
      <c r="E254" s="1059"/>
      <c r="F254" s="896"/>
      <c r="G254" s="839">
        <f>+N246</f>
        <v>0</v>
      </c>
      <c r="H254" s="898">
        <f>IF(SIGN(G255*N247)&lt;0,IF(G254&lt;&gt;0,-SIGN(G254)*MIN(ABS(G255-H252-H253),ABS(G254)),0),0)</f>
        <v>0</v>
      </c>
      <c r="I254" s="839">
        <f>+G254+H254</f>
        <v>0</v>
      </c>
      <c r="J254" s="698"/>
      <c r="K254" s="897">
        <f>-MIN(ABS(I254),ABS(J256-K252-K253))*SIGN(I254)</f>
        <v>0</v>
      </c>
      <c r="L254" s="898">
        <f>+K254+H254</f>
        <v>0</v>
      </c>
      <c r="M254" s="20"/>
      <c r="N254" s="839">
        <f>+I254+K254</f>
        <v>0</v>
      </c>
      <c r="O254" s="610"/>
    </row>
    <row r="255" spans="2:15" ht="13" x14ac:dyDescent="0.25">
      <c r="B255" s="1057">
        <v>2018</v>
      </c>
      <c r="C255" s="1058"/>
      <c r="D255" s="1058"/>
      <c r="E255" s="1059"/>
      <c r="F255" s="896"/>
      <c r="G255" s="839">
        <f>J115</f>
        <v>0</v>
      </c>
      <c r="H255" s="898">
        <f>IF(SIGN(G255*N247)&lt;0,-SUM(H252:H254),0)</f>
        <v>0</v>
      </c>
      <c r="I255" s="839">
        <f>+G255+H255</f>
        <v>0</v>
      </c>
      <c r="J255" s="698"/>
      <c r="K255" s="897">
        <f>-MIN(ABS(I255),ABS(J256-K252-K253-K254))*SIGN(I255)</f>
        <v>0</v>
      </c>
      <c r="L255" s="898">
        <f>+K255+H255</f>
        <v>0</v>
      </c>
      <c r="M255" s="20"/>
      <c r="N255" s="839">
        <f>+I255+K255</f>
        <v>0</v>
      </c>
      <c r="O255" s="610"/>
    </row>
    <row r="256" spans="2:15" s="18" customFormat="1" ht="13" x14ac:dyDescent="0.3">
      <c r="G256" s="899">
        <f>SUM(G252:G255)</f>
        <v>0</v>
      </c>
      <c r="H256" s="899">
        <f>SUM(H252:H255)</f>
        <v>0</v>
      </c>
      <c r="I256" s="899">
        <f>SUM(I252:I255)</f>
        <v>0</v>
      </c>
      <c r="J256" s="899">
        <f>-I256*0.6</f>
        <v>0</v>
      </c>
      <c r="K256" s="900">
        <f>SUM(K252:K255)</f>
        <v>0</v>
      </c>
      <c r="L256" s="900"/>
      <c r="N256" s="899">
        <f>SUM(N252:N255)</f>
        <v>0</v>
      </c>
    </row>
    <row r="259" spans="2:14" ht="13" x14ac:dyDescent="0.3">
      <c r="B259" s="18" t="s">
        <v>364</v>
      </c>
      <c r="C259" s="381"/>
      <c r="D259" s="381"/>
      <c r="E259" s="381"/>
    </row>
    <row r="260" spans="2:14" ht="13" x14ac:dyDescent="0.3">
      <c r="B260" s="18"/>
      <c r="C260" s="381"/>
      <c r="D260" s="381"/>
      <c r="E260" s="381"/>
    </row>
    <row r="261" spans="2:14" ht="13" x14ac:dyDescent="0.3">
      <c r="B261" s="864">
        <f>F229</f>
        <v>2017</v>
      </c>
      <c r="C261" s="906">
        <f>J232</f>
        <v>0</v>
      </c>
      <c r="D261" s="381"/>
      <c r="E261" s="381"/>
    </row>
    <row r="262" spans="2:14" ht="13" x14ac:dyDescent="0.3">
      <c r="B262" s="864">
        <f>F234</f>
        <v>2018</v>
      </c>
      <c r="C262" s="906">
        <f>K239</f>
        <v>0</v>
      </c>
      <c r="D262" s="381"/>
      <c r="E262" s="381"/>
    </row>
    <row r="263" spans="2:14" ht="13" x14ac:dyDescent="0.3">
      <c r="B263" s="864">
        <f>F241</f>
        <v>2019</v>
      </c>
      <c r="C263" s="906">
        <f>K247</f>
        <v>0</v>
      </c>
      <c r="D263" s="381"/>
      <c r="E263" s="381"/>
    </row>
    <row r="264" spans="2:14" ht="13" x14ac:dyDescent="0.3">
      <c r="B264" s="864">
        <f>F249</f>
        <v>2020</v>
      </c>
      <c r="C264" s="906">
        <f>K256</f>
        <v>0</v>
      </c>
      <c r="D264" s="381"/>
      <c r="E264" s="381"/>
    </row>
    <row r="265" spans="2:14" x14ac:dyDescent="0.25">
      <c r="M265" s="610"/>
    </row>
    <row r="266" spans="2:14" x14ac:dyDescent="0.25">
      <c r="M266" s="610"/>
    </row>
    <row r="267" spans="2:14" ht="13" x14ac:dyDescent="0.3">
      <c r="B267" s="902" t="s">
        <v>138</v>
      </c>
      <c r="C267" s="903"/>
      <c r="D267" s="903"/>
      <c r="E267" s="903"/>
      <c r="F267" s="904"/>
      <c r="G267" s="904"/>
      <c r="H267" s="904"/>
      <c r="I267" s="904"/>
      <c r="J267" s="904"/>
      <c r="K267" s="904"/>
      <c r="L267" s="904"/>
      <c r="M267" s="905"/>
      <c r="N267" s="904"/>
    </row>
    <row r="268" spans="2:14" x14ac:dyDescent="0.25">
      <c r="M268" s="610"/>
    </row>
    <row r="269" spans="2:14" ht="13" x14ac:dyDescent="0.3">
      <c r="B269" s="18" t="s">
        <v>362</v>
      </c>
      <c r="F269" s="895">
        <v>2017</v>
      </c>
      <c r="M269" s="610"/>
    </row>
    <row r="270" spans="2:14" x14ac:dyDescent="0.25">
      <c r="L270" s="610"/>
      <c r="M270" s="20"/>
    </row>
    <row r="271" spans="2:14" ht="82.5" customHeight="1" x14ac:dyDescent="0.25">
      <c r="B271" s="1060" t="s">
        <v>363</v>
      </c>
      <c r="C271" s="1061"/>
      <c r="D271" s="1061"/>
      <c r="E271" s="1062"/>
      <c r="F271" s="599"/>
      <c r="G271" s="675" t="str">
        <f>"Nog af te bouwen regulatoir saldo einde "&amp;F269-1</f>
        <v>Nog af te bouwen regulatoir saldo einde 2016</v>
      </c>
      <c r="H271" s="675" t="str">
        <f>"Afbouw oudste openstaande regulatoir saldo vanaf boekjaar "&amp;F269-3&amp;" en vroeger, door aanwending van compensatie met regulatoir saldo ontstaan over boekjaar "&amp;F269-2</f>
        <v>Afbouw oudste openstaande regulatoir saldo vanaf boekjaar 2014 en vroeger, door aanwending van compensatie met regulatoir saldo ontstaan over boekjaar 2015</v>
      </c>
      <c r="I271" s="675" t="str">
        <f>"Nog af te bouwen regulatoir saldo na compensatie einde "&amp;F269-1</f>
        <v>Nog af te bouwen regulatoir saldo na compensatie einde 2016</v>
      </c>
      <c r="J271" s="675" t="str">
        <f>"Aanwending van 60% van het geaccumuleerd regulatoir saldo door te rekenen volgens de tariefmethodologie in het boekjaar "&amp;F269</f>
        <v>Aanwending van 60% van het geaccumuleerd regulatoir saldo door te rekenen volgens de tariefmethodologie in het boekjaar 2017</v>
      </c>
      <c r="K271" s="675" t="str">
        <f>"Nog af te bouwen regulatoir saldo einde "&amp;F269</f>
        <v>Nog af te bouwen regulatoir saldo einde 2017</v>
      </c>
      <c r="L271" s="610"/>
      <c r="M271" s="20"/>
    </row>
    <row r="272" spans="2:14" ht="13" x14ac:dyDescent="0.25">
      <c r="B272" s="1057">
        <v>2015</v>
      </c>
      <c r="C272" s="1058"/>
      <c r="D272" s="1058"/>
      <c r="E272" s="1059"/>
      <c r="F272" s="896"/>
      <c r="G272" s="839">
        <f>G119</f>
        <v>0</v>
      </c>
      <c r="H272" s="897">
        <v>0</v>
      </c>
      <c r="I272" s="839">
        <f>+G272+H272</f>
        <v>0</v>
      </c>
      <c r="J272" s="839">
        <f>-I272*0.6</f>
        <v>0</v>
      </c>
      <c r="K272" s="908">
        <f>+J272+G272</f>
        <v>0</v>
      </c>
      <c r="L272" s="610"/>
      <c r="M272" s="20"/>
    </row>
    <row r="273" spans="2:15" x14ac:dyDescent="0.25">
      <c r="L273" s="610"/>
      <c r="M273" s="20"/>
    </row>
    <row r="274" spans="2:15" ht="13" x14ac:dyDescent="0.3">
      <c r="B274" s="18" t="s">
        <v>362</v>
      </c>
      <c r="F274" s="895">
        <v>2018</v>
      </c>
      <c r="M274" s="610"/>
    </row>
    <row r="275" spans="2:15" x14ac:dyDescent="0.25">
      <c r="M275" s="610"/>
    </row>
    <row r="276" spans="2:15" ht="69.75" customHeight="1" x14ac:dyDescent="0.25">
      <c r="B276" s="1060" t="s">
        <v>363</v>
      </c>
      <c r="C276" s="1061"/>
      <c r="D276" s="1061"/>
      <c r="E276" s="1062"/>
      <c r="F276" s="599"/>
      <c r="G276" s="675" t="str">
        <f>"Nog af te bouwen regulatoir saldo einde "&amp;F274-1</f>
        <v>Nog af te bouwen regulatoir saldo einde 2017</v>
      </c>
      <c r="H276" s="675" t="str">
        <f>"Afbouw oudste openstaande regulatoir saldo vanaf boekjaar "&amp;F274-3&amp;" en vroeger, door aanwending van compensatie met regulatoir saldo ontstaan over boekjaar "&amp;F274-2</f>
        <v>Afbouw oudste openstaande regulatoir saldo vanaf boekjaar 2015 en vroeger, door aanwending van compensatie met regulatoir saldo ontstaan over boekjaar 2016</v>
      </c>
      <c r="I276" s="675" t="str">
        <f>"Nog af te bouwen regulatoir saldo na compensatie einde "&amp;F274-1</f>
        <v>Nog af te bouwen regulatoir saldo na compensatie einde 2017</v>
      </c>
      <c r="J276" s="675" t="str">
        <f>"60% van het geaccumuleerd regulatoir saldo door te rekenen volgens de tariefmethodologie in het boekjaar "&amp;F274</f>
        <v>60% van het geaccumuleerd regulatoir saldo door te rekenen volgens de tariefmethodologie in het boekjaar 2018</v>
      </c>
      <c r="K276" s="675" t="str">
        <f>"Aanwending van 60% van het geaccumuleerd regulatoir saldo door te rekenen volgens de tariefmethodologie in het boekjaar "&amp;F274</f>
        <v>Aanwending van 60% van het geaccumuleerd regulatoir saldo door te rekenen volgens de tariefmethodologie in het boekjaar 2018</v>
      </c>
      <c r="L276" s="675" t="str">
        <f>"Totale afbouw over "&amp;F274</f>
        <v>Totale afbouw over 2018</v>
      </c>
      <c r="M276" s="20"/>
      <c r="N276" s="675" t="str">
        <f>"Nog af te bouwen regulatoir saldo einde "&amp;F274</f>
        <v>Nog af te bouwen regulatoir saldo einde 2018</v>
      </c>
      <c r="O276" s="610"/>
    </row>
    <row r="277" spans="2:15" ht="13" x14ac:dyDescent="0.25">
      <c r="B277" s="1057">
        <v>2015</v>
      </c>
      <c r="C277" s="1058"/>
      <c r="D277" s="1058"/>
      <c r="E277" s="1059"/>
      <c r="F277" s="896"/>
      <c r="G277" s="839">
        <f>K272</f>
        <v>0</v>
      </c>
      <c r="H277" s="897">
        <f>IF(SIGN(G278*K272)&lt;0,IF(G277&lt;&gt;0,-SIGN(G277)*MIN(ABS(G278),ABS(G277)),0),0)</f>
        <v>0</v>
      </c>
      <c r="I277" s="839">
        <f>+G277+H277</f>
        <v>0</v>
      </c>
      <c r="J277" s="698"/>
      <c r="K277" s="897">
        <f>-MIN(ABS(I277),ABS(J279))*SIGN(I277)</f>
        <v>0</v>
      </c>
      <c r="L277" s="898">
        <f>+K277+H277</f>
        <v>0</v>
      </c>
      <c r="M277" s="20"/>
      <c r="N277" s="839">
        <f>+I277+K277</f>
        <v>0</v>
      </c>
      <c r="O277" s="610"/>
    </row>
    <row r="278" spans="2:15" ht="13" x14ac:dyDescent="0.25">
      <c r="B278" s="1057">
        <v>2016</v>
      </c>
      <c r="C278" s="1058"/>
      <c r="D278" s="1058"/>
      <c r="E278" s="1059"/>
      <c r="F278" s="896"/>
      <c r="G278" s="839">
        <f>H120</f>
        <v>0</v>
      </c>
      <c r="H278" s="898">
        <f>IF(SIGN(G278*K272)&lt;0,-H277,0)</f>
        <v>0</v>
      </c>
      <c r="I278" s="839">
        <f>+G278+H278</f>
        <v>0</v>
      </c>
      <c r="J278" s="698"/>
      <c r="K278" s="897">
        <f>-MIN(ABS(I278),ABS(J279-K277))*SIGN(I278)</f>
        <v>0</v>
      </c>
      <c r="L278" s="898">
        <f>+K278+H278</f>
        <v>0</v>
      </c>
      <c r="M278" s="20"/>
      <c r="N278" s="839">
        <f>+I278+K278</f>
        <v>0</v>
      </c>
      <c r="O278" s="610"/>
    </row>
    <row r="279" spans="2:15" s="18" customFormat="1" ht="13" x14ac:dyDescent="0.3">
      <c r="G279" s="899">
        <f>SUM(G277:G278)</f>
        <v>0</v>
      </c>
      <c r="H279" s="899">
        <f>SUM(H277:H278)</f>
        <v>0</v>
      </c>
      <c r="I279" s="899">
        <f>SUM(I277:I278)</f>
        <v>0</v>
      </c>
      <c r="J279" s="899">
        <f>-I279*0.6</f>
        <v>0</v>
      </c>
      <c r="K279" s="900">
        <f>SUM(K277:K278)</f>
        <v>0</v>
      </c>
      <c r="L279" s="901"/>
      <c r="N279" s="899">
        <f>SUM(N277:N278)</f>
        <v>0</v>
      </c>
    </row>
    <row r="280" spans="2:15" x14ac:dyDescent="0.25">
      <c r="M280" s="610"/>
    </row>
    <row r="281" spans="2:15" ht="13" x14ac:dyDescent="0.3">
      <c r="B281" s="18" t="s">
        <v>362</v>
      </c>
      <c r="F281" s="895">
        <v>2019</v>
      </c>
      <c r="M281" s="20"/>
    </row>
    <row r="282" spans="2:15" x14ac:dyDescent="0.25">
      <c r="M282" s="20"/>
    </row>
    <row r="283" spans="2:15" ht="75.75" customHeight="1" x14ac:dyDescent="0.25">
      <c r="B283" s="1060" t="s">
        <v>363</v>
      </c>
      <c r="C283" s="1061"/>
      <c r="D283" s="1061"/>
      <c r="E283" s="1062"/>
      <c r="F283" s="599"/>
      <c r="G283" s="675" t="str">
        <f>"Nog af te bouwen regulatoir saldo einde "&amp;F281-1</f>
        <v>Nog af te bouwen regulatoir saldo einde 2018</v>
      </c>
      <c r="H283" s="675" t="str">
        <f>"Afbouw oudste openstaande regulatoir saldo vanaf boekjaar "&amp;F281-3&amp;" en vroeger, door aanwending van compensatie met regulatoir saldo ontstaan over boekjaar "&amp;F281-2</f>
        <v>Afbouw oudste openstaande regulatoir saldo vanaf boekjaar 2016 en vroeger, door aanwending van compensatie met regulatoir saldo ontstaan over boekjaar 2017</v>
      </c>
      <c r="I283" s="675" t="str">
        <f>"Nog af te bouwen regulatoir saldo na compensatie einde "&amp;F281-1</f>
        <v>Nog af te bouwen regulatoir saldo na compensatie einde 2018</v>
      </c>
      <c r="J283" s="675" t="str">
        <f>"60% van het geaccumuleerd regulatoir saldo door te rekenen volgens de tariefmethodologie in het boekjaar "&amp;F281</f>
        <v>60% van het geaccumuleerd regulatoir saldo door te rekenen volgens de tariefmethodologie in het boekjaar 2019</v>
      </c>
      <c r="K283" s="675" t="str">
        <f>"Aanwending van het 60% van het geaccumuleerd regulatoir saldo door te rekenen volgens de tariefmethodologie in het boekjaar "&amp;F281</f>
        <v>Aanwending van het 60% van het geaccumuleerd regulatoir saldo door te rekenen volgens de tariefmethodologie in het boekjaar 2019</v>
      </c>
      <c r="L283" s="675" t="str">
        <f>"Totale afbouw over "&amp;F281</f>
        <v>Totale afbouw over 2019</v>
      </c>
      <c r="M283" s="20"/>
      <c r="N283" s="675" t="str">
        <f>"Nog af te bouwen regulatoir saldo einde "&amp;F281</f>
        <v>Nog af te bouwen regulatoir saldo einde 2019</v>
      </c>
      <c r="O283" s="610"/>
    </row>
    <row r="284" spans="2:15" ht="13" x14ac:dyDescent="0.25">
      <c r="B284" s="1057">
        <v>2015</v>
      </c>
      <c r="C284" s="1058"/>
      <c r="D284" s="1058"/>
      <c r="E284" s="1059"/>
      <c r="F284" s="896"/>
      <c r="G284" s="839">
        <f>+N277</f>
        <v>0</v>
      </c>
      <c r="H284" s="898">
        <f>IF(SIGN(G286*N279)&lt;0,IF(G284&lt;&gt;0,-SIGN(G284)*MIN(ABS(G286),ABS(G284)),0),0)</f>
        <v>0</v>
      </c>
      <c r="I284" s="839">
        <f>+G284+H284</f>
        <v>0</v>
      </c>
      <c r="J284" s="698"/>
      <c r="K284" s="897">
        <f>-MIN(ABS(I284),ABS(J287))*SIGN(I284)</f>
        <v>0</v>
      </c>
      <c r="L284" s="898">
        <f>+K284+H284</f>
        <v>0</v>
      </c>
      <c r="M284" s="20"/>
      <c r="N284" s="839">
        <f>+I284+K284</f>
        <v>0</v>
      </c>
      <c r="O284" s="610"/>
    </row>
    <row r="285" spans="2:15" ht="13" x14ac:dyDescent="0.25">
      <c r="B285" s="1057">
        <v>2016</v>
      </c>
      <c r="C285" s="1058"/>
      <c r="D285" s="1058">
        <v>2016</v>
      </c>
      <c r="E285" s="1059"/>
      <c r="F285" s="896"/>
      <c r="G285" s="839">
        <f>+N278</f>
        <v>0</v>
      </c>
      <c r="H285" s="898">
        <f>IF(SIGN(G286*N279)&lt;0,IF(G285&lt;&gt;0,-SIGN(G285)*MIN(ABS(G286-H284),ABS(G285)),0),0)</f>
        <v>0</v>
      </c>
      <c r="I285" s="839">
        <f>+G285+H285</f>
        <v>0</v>
      </c>
      <c r="J285" s="698"/>
      <c r="K285" s="897">
        <f>-MIN(ABS(I285),ABS(J287-K284))*SIGN(I285)</f>
        <v>0</v>
      </c>
      <c r="L285" s="898">
        <f>+K285+H285</f>
        <v>0</v>
      </c>
      <c r="M285" s="20"/>
      <c r="N285" s="839">
        <f>+I285+K285</f>
        <v>0</v>
      </c>
      <c r="O285" s="610"/>
    </row>
    <row r="286" spans="2:15" ht="13" x14ac:dyDescent="0.25">
      <c r="B286" s="1057">
        <v>2017</v>
      </c>
      <c r="C286" s="1058"/>
      <c r="D286" s="1058"/>
      <c r="E286" s="1059"/>
      <c r="F286" s="896"/>
      <c r="G286" s="839">
        <f>I121</f>
        <v>0</v>
      </c>
      <c r="H286" s="898">
        <f>IF(SIGN(G286*N279)&lt;0,-SUM(H284:H285),0)</f>
        <v>0</v>
      </c>
      <c r="I286" s="839">
        <f>+G286+H286</f>
        <v>0</v>
      </c>
      <c r="J286" s="698"/>
      <c r="K286" s="897">
        <f>-MIN(ABS(I286),ABS(J287-K284-K285))*SIGN(I286)</f>
        <v>0</v>
      </c>
      <c r="L286" s="898">
        <f>+K286+H286</f>
        <v>0</v>
      </c>
      <c r="M286" s="20"/>
      <c r="N286" s="839">
        <f>+I286+K286</f>
        <v>0</v>
      </c>
      <c r="O286" s="610"/>
    </row>
    <row r="287" spans="2:15" s="18" customFormat="1" ht="13" x14ac:dyDescent="0.3">
      <c r="G287" s="899">
        <f>SUM(G284:G286)</f>
        <v>0</v>
      </c>
      <c r="H287" s="899">
        <f>SUM(H284:H286)</f>
        <v>0</v>
      </c>
      <c r="I287" s="899">
        <f>SUM(I284:I286)</f>
        <v>0</v>
      </c>
      <c r="J287" s="899">
        <f>-I287*0.6</f>
        <v>0</v>
      </c>
      <c r="K287" s="900">
        <f>SUM(K284:K286)</f>
        <v>0</v>
      </c>
      <c r="L287" s="901"/>
      <c r="N287" s="899">
        <f>SUM(N284:N286)</f>
        <v>0</v>
      </c>
    </row>
    <row r="288" spans="2:15" x14ac:dyDescent="0.25">
      <c r="M288" s="610"/>
    </row>
    <row r="289" spans="2:15" ht="13" x14ac:dyDescent="0.3">
      <c r="B289" s="18" t="s">
        <v>362</v>
      </c>
      <c r="F289" s="895">
        <v>2020</v>
      </c>
      <c r="M289" s="20"/>
    </row>
    <row r="290" spans="2:15" x14ac:dyDescent="0.25">
      <c r="M290" s="20"/>
    </row>
    <row r="291" spans="2:15" ht="78" customHeight="1" x14ac:dyDescent="0.25">
      <c r="B291" s="1060" t="s">
        <v>363</v>
      </c>
      <c r="C291" s="1061"/>
      <c r="D291" s="1061"/>
      <c r="E291" s="1062"/>
      <c r="F291" s="599"/>
      <c r="G291" s="675" t="str">
        <f>"Nog af te bouwen regulatoir saldo einde "&amp;F289-1</f>
        <v>Nog af te bouwen regulatoir saldo einde 2019</v>
      </c>
      <c r="H291" s="675" t="str">
        <f>"Afbouw oudste openstaande regulatoir saldo vanaf boekjaar "&amp;F289-3&amp;" en vroeger, door aanwending van compensatie met regulatoir saldo ontstaan over boekjaar "&amp;F289-2</f>
        <v>Afbouw oudste openstaande regulatoir saldo vanaf boekjaar 2017 en vroeger, door aanwending van compensatie met regulatoir saldo ontstaan over boekjaar 2018</v>
      </c>
      <c r="I291" s="675" t="str">
        <f>"Nog af te bouwen regulatoir saldo na compensatie einde "&amp;F289-1</f>
        <v>Nog af te bouwen regulatoir saldo na compensatie einde 2019</v>
      </c>
      <c r="J291" s="675" t="str">
        <f>"60% van het geaccumuleerd regulatoir saldo door te rekenen volgens de tariefmethodologie in het boekjaar "&amp;F289</f>
        <v>60% van het geaccumuleerd regulatoir saldo door te rekenen volgens de tariefmethodologie in het boekjaar 2020</v>
      </c>
      <c r="K291" s="675" t="str">
        <f>"Aanwending van het 60% van het geaccumuleerd regulatoir saldo door te rekenen volgens de tariefmethodologie in het boekjaar "&amp;F289</f>
        <v>Aanwending van het 60% van het geaccumuleerd regulatoir saldo door te rekenen volgens de tariefmethodologie in het boekjaar 2020</v>
      </c>
      <c r="L291" s="675" t="str">
        <f>"Totale afbouw over "&amp;F289</f>
        <v>Totale afbouw over 2020</v>
      </c>
      <c r="M291" s="20"/>
      <c r="N291" s="675" t="str">
        <f>"Nog af te bouwen regulatoir saldo einde "&amp;F289</f>
        <v>Nog af te bouwen regulatoir saldo einde 2020</v>
      </c>
      <c r="O291" s="610"/>
    </row>
    <row r="292" spans="2:15" ht="13" x14ac:dyDescent="0.25">
      <c r="B292" s="1057">
        <v>2015</v>
      </c>
      <c r="C292" s="1058"/>
      <c r="D292" s="1058"/>
      <c r="E292" s="1059"/>
      <c r="F292" s="896"/>
      <c r="G292" s="839">
        <f>+N284</f>
        <v>0</v>
      </c>
      <c r="H292" s="898">
        <f>IF(SIGN(G295*N287)&lt;0,IF(G292&lt;&gt;0,-SIGN(G292)*MIN(ABS(G295),ABS(G292)),0),0)</f>
        <v>0</v>
      </c>
      <c r="I292" s="839">
        <f>+G292+H292</f>
        <v>0</v>
      </c>
      <c r="J292" s="698"/>
      <c r="K292" s="897">
        <f>-MIN(ABS(I292),ABS(J296))*SIGN(I292)</f>
        <v>0</v>
      </c>
      <c r="L292" s="898">
        <f>+K292+H292</f>
        <v>0</v>
      </c>
      <c r="M292" s="20"/>
      <c r="N292" s="839">
        <f>+I292+K292</f>
        <v>0</v>
      </c>
      <c r="O292" s="610"/>
    </row>
    <row r="293" spans="2:15" ht="13" x14ac:dyDescent="0.25">
      <c r="B293" s="1057">
        <v>2016</v>
      </c>
      <c r="C293" s="1058"/>
      <c r="D293" s="1058"/>
      <c r="E293" s="1059"/>
      <c r="F293" s="896"/>
      <c r="G293" s="839">
        <f>+N285</f>
        <v>0</v>
      </c>
      <c r="H293" s="898">
        <f>IF(SIGN(G295*N287)&lt;0,IF(G293&lt;&gt;0,-SIGN(G293)*MIN(ABS(G295-H292),ABS(G293)),0),0)</f>
        <v>0</v>
      </c>
      <c r="I293" s="839">
        <f>+G293+H293</f>
        <v>0</v>
      </c>
      <c r="J293" s="698"/>
      <c r="K293" s="897">
        <f>-MIN(ABS(I293),ABS(J296-K292))*SIGN(I293)</f>
        <v>0</v>
      </c>
      <c r="L293" s="898">
        <f>+K293+H293</f>
        <v>0</v>
      </c>
      <c r="M293" s="20"/>
      <c r="N293" s="839">
        <f>+I293+K293</f>
        <v>0</v>
      </c>
      <c r="O293" s="610"/>
    </row>
    <row r="294" spans="2:15" ht="13" x14ac:dyDescent="0.25">
      <c r="B294" s="1057">
        <v>2017</v>
      </c>
      <c r="C294" s="1058"/>
      <c r="D294" s="1058">
        <v>2016</v>
      </c>
      <c r="E294" s="1059"/>
      <c r="F294" s="896"/>
      <c r="G294" s="839">
        <f>+N286</f>
        <v>0</v>
      </c>
      <c r="H294" s="898">
        <f>IF(SIGN(G295*N287)&lt;0,IF(G294&lt;&gt;0,-SIGN(G294)*MIN(ABS(G295-H292-H293),ABS(G294)),0),0)</f>
        <v>0</v>
      </c>
      <c r="I294" s="839">
        <f>+G294+H294</f>
        <v>0</v>
      </c>
      <c r="J294" s="698"/>
      <c r="K294" s="897">
        <f>-MIN(ABS(I294),ABS(J296-K292-K293))*SIGN(I294)</f>
        <v>0</v>
      </c>
      <c r="L294" s="898">
        <f>+K294+H294</f>
        <v>0</v>
      </c>
      <c r="M294" s="20"/>
      <c r="N294" s="839">
        <f>+I294+K294</f>
        <v>0</v>
      </c>
      <c r="O294" s="610"/>
    </row>
    <row r="295" spans="2:15" ht="13" x14ac:dyDescent="0.25">
      <c r="B295" s="1057">
        <v>2018</v>
      </c>
      <c r="C295" s="1058"/>
      <c r="D295" s="1058"/>
      <c r="E295" s="1059"/>
      <c r="F295" s="896"/>
      <c r="G295" s="839">
        <f>J122</f>
        <v>0</v>
      </c>
      <c r="H295" s="898">
        <f>IF(SIGN(G295*N287)&lt;0,-SUM(H292:H294),0)</f>
        <v>0</v>
      </c>
      <c r="I295" s="839">
        <f>+G295+H295</f>
        <v>0</v>
      </c>
      <c r="J295" s="698"/>
      <c r="K295" s="897">
        <f>-MIN(ABS(I295),ABS(J296-K292-K293-K294))*SIGN(I295)</f>
        <v>0</v>
      </c>
      <c r="L295" s="898">
        <f>+K295+H295</f>
        <v>0</v>
      </c>
      <c r="M295" s="20"/>
      <c r="N295" s="839">
        <f>+I295+K295</f>
        <v>0</v>
      </c>
      <c r="O295" s="610"/>
    </row>
    <row r="296" spans="2:15" s="18" customFormat="1" ht="13" x14ac:dyDescent="0.3">
      <c r="G296" s="899">
        <f>SUM(G292:G295)</f>
        <v>0</v>
      </c>
      <c r="H296" s="899">
        <f>SUM(H292:H295)</f>
        <v>0</v>
      </c>
      <c r="I296" s="899">
        <f>SUM(I292:I295)</f>
        <v>0</v>
      </c>
      <c r="J296" s="899">
        <f>-I296*0.6</f>
        <v>0</v>
      </c>
      <c r="K296" s="900">
        <f>SUM(K292:K295)</f>
        <v>0</v>
      </c>
      <c r="L296" s="900"/>
      <c r="N296" s="899">
        <f>SUM(N292:N295)</f>
        <v>0</v>
      </c>
    </row>
    <row r="299" spans="2:15" ht="13" x14ac:dyDescent="0.3">
      <c r="B299" s="18" t="s">
        <v>364</v>
      </c>
      <c r="C299" s="381"/>
      <c r="D299" s="381"/>
      <c r="E299" s="381"/>
    </row>
    <row r="300" spans="2:15" ht="13" x14ac:dyDescent="0.3">
      <c r="B300" s="18"/>
      <c r="C300" s="381"/>
      <c r="D300" s="381"/>
      <c r="E300" s="381"/>
    </row>
    <row r="301" spans="2:15" ht="13" x14ac:dyDescent="0.3">
      <c r="B301" s="864">
        <f>F269</f>
        <v>2017</v>
      </c>
      <c r="C301" s="906">
        <f>J272</f>
        <v>0</v>
      </c>
      <c r="D301" s="381"/>
      <c r="E301" s="381"/>
    </row>
    <row r="302" spans="2:15" ht="13" x14ac:dyDescent="0.3">
      <c r="B302" s="864">
        <f>F274</f>
        <v>2018</v>
      </c>
      <c r="C302" s="906">
        <f>K279</f>
        <v>0</v>
      </c>
      <c r="D302" s="381"/>
      <c r="E302" s="381"/>
    </row>
    <row r="303" spans="2:15" ht="13" x14ac:dyDescent="0.3">
      <c r="B303" s="864">
        <f>F281</f>
        <v>2019</v>
      </c>
      <c r="C303" s="906">
        <f>K287</f>
        <v>0</v>
      </c>
      <c r="D303" s="381"/>
      <c r="E303" s="381"/>
    </row>
    <row r="304" spans="2:15" ht="13" x14ac:dyDescent="0.3">
      <c r="B304" s="864">
        <f>F289</f>
        <v>2020</v>
      </c>
      <c r="C304" s="906">
        <f>K296</f>
        <v>0</v>
      </c>
      <c r="D304" s="381"/>
      <c r="E304" s="381"/>
    </row>
    <row r="305" spans="2:15" x14ac:dyDescent="0.25">
      <c r="M305" s="610"/>
    </row>
    <row r="306" spans="2:15" x14ac:dyDescent="0.25">
      <c r="M306" s="610"/>
    </row>
    <row r="307" spans="2:15" ht="13" x14ac:dyDescent="0.3">
      <c r="B307" s="902" t="s">
        <v>133</v>
      </c>
      <c r="C307" s="903"/>
      <c r="D307" s="903"/>
      <c r="E307" s="903"/>
      <c r="F307" s="904"/>
      <c r="G307" s="904"/>
      <c r="H307" s="904"/>
      <c r="I307" s="904"/>
      <c r="J307" s="904"/>
      <c r="K307" s="904"/>
      <c r="L307" s="904"/>
      <c r="M307" s="905"/>
      <c r="N307" s="904"/>
    </row>
    <row r="308" spans="2:15" x14ac:dyDescent="0.25">
      <c r="M308" s="610"/>
    </row>
    <row r="309" spans="2:15" ht="13" x14ac:dyDescent="0.3">
      <c r="B309" s="18" t="s">
        <v>362</v>
      </c>
      <c r="F309" s="895">
        <v>2017</v>
      </c>
      <c r="M309" s="610"/>
    </row>
    <row r="310" spans="2:15" x14ac:dyDescent="0.25">
      <c r="L310" s="610"/>
      <c r="M310" s="20"/>
    </row>
    <row r="311" spans="2:15" ht="82.5" customHeight="1" x14ac:dyDescent="0.25">
      <c r="B311" s="1060" t="s">
        <v>363</v>
      </c>
      <c r="C311" s="1061"/>
      <c r="D311" s="1061"/>
      <c r="E311" s="1062"/>
      <c r="F311" s="599"/>
      <c r="G311" s="675" t="str">
        <f>"Nog af te bouwen regulatoir saldo einde "&amp;F309-1</f>
        <v>Nog af te bouwen regulatoir saldo einde 2016</v>
      </c>
      <c r="H311" s="675" t="str">
        <f>"Afbouw oudste openstaande regulatoir saldo vanaf boekjaar "&amp;F309-3&amp;" en vroeger, door aanwending van compensatie met regulatoir saldo ontstaan over boekjaar "&amp;F309-2</f>
        <v>Afbouw oudste openstaande regulatoir saldo vanaf boekjaar 2014 en vroeger, door aanwending van compensatie met regulatoir saldo ontstaan over boekjaar 2015</v>
      </c>
      <c r="I311" s="675" t="str">
        <f>"Nog af te bouwen regulatoir saldo na compensatie einde "&amp;F309-1</f>
        <v>Nog af te bouwen regulatoir saldo na compensatie einde 2016</v>
      </c>
      <c r="J311" s="675" t="str">
        <f>"Aanwending van 60% van het geaccumuleerd regulatoir saldo door te rekenen volgens de tariefmethodologie in het boekjaar "&amp;F309</f>
        <v>Aanwending van 60% van het geaccumuleerd regulatoir saldo door te rekenen volgens de tariefmethodologie in het boekjaar 2017</v>
      </c>
      <c r="K311" s="675" t="str">
        <f>"Nog af te bouwen regulatoir saldo einde "&amp;F309</f>
        <v>Nog af te bouwen regulatoir saldo einde 2017</v>
      </c>
      <c r="L311" s="610"/>
      <c r="M311" s="20"/>
    </row>
    <row r="312" spans="2:15" ht="13" x14ac:dyDescent="0.25">
      <c r="B312" s="1057">
        <v>2015</v>
      </c>
      <c r="C312" s="1058"/>
      <c r="D312" s="1058"/>
      <c r="E312" s="1059"/>
      <c r="F312" s="896"/>
      <c r="G312" s="839">
        <f>G126</f>
        <v>0</v>
      </c>
      <c r="H312" s="897">
        <v>0</v>
      </c>
      <c r="I312" s="839">
        <f>+G312+H312</f>
        <v>0</v>
      </c>
      <c r="J312" s="839">
        <f>-I312*0.6</f>
        <v>0</v>
      </c>
      <c r="K312" s="908">
        <f>+J312+G312</f>
        <v>0</v>
      </c>
      <c r="L312" s="610"/>
      <c r="M312" s="20"/>
    </row>
    <row r="313" spans="2:15" x14ac:dyDescent="0.25">
      <c r="L313" s="610"/>
      <c r="M313" s="20"/>
    </row>
    <row r="314" spans="2:15" ht="13" x14ac:dyDescent="0.3">
      <c r="B314" s="18" t="s">
        <v>362</v>
      </c>
      <c r="F314" s="895">
        <v>2018</v>
      </c>
      <c r="M314" s="610"/>
    </row>
    <row r="315" spans="2:15" x14ac:dyDescent="0.25">
      <c r="M315" s="610"/>
    </row>
    <row r="316" spans="2:15" ht="69.75" customHeight="1" x14ac:dyDescent="0.25">
      <c r="B316" s="1060" t="s">
        <v>363</v>
      </c>
      <c r="C316" s="1061"/>
      <c r="D316" s="1061"/>
      <c r="E316" s="1062"/>
      <c r="F316" s="599"/>
      <c r="G316" s="675" t="str">
        <f>"Nog af te bouwen regulatoir saldo einde "&amp;F314-1</f>
        <v>Nog af te bouwen regulatoir saldo einde 2017</v>
      </c>
      <c r="H316" s="675" t="str">
        <f>"Afbouw oudste openstaande regulatoir saldo vanaf boekjaar "&amp;F314-3&amp;" en vroeger, door aanwending van compensatie met regulatoir saldo ontstaan over boekjaar "&amp;F314-2</f>
        <v>Afbouw oudste openstaande regulatoir saldo vanaf boekjaar 2015 en vroeger, door aanwending van compensatie met regulatoir saldo ontstaan over boekjaar 2016</v>
      </c>
      <c r="I316" s="675" t="str">
        <f>"Nog af te bouwen regulatoir saldo na compensatie einde "&amp;F314-1</f>
        <v>Nog af te bouwen regulatoir saldo na compensatie einde 2017</v>
      </c>
      <c r="J316" s="675" t="str">
        <f>"60% van het geaccumuleerd regulatoir saldo door te rekenen volgens de tariefmethodologie in het boekjaar "&amp;F314</f>
        <v>60% van het geaccumuleerd regulatoir saldo door te rekenen volgens de tariefmethodologie in het boekjaar 2018</v>
      </c>
      <c r="K316" s="675" t="str">
        <f>"Aanwending van 60% van het geaccumuleerd regulatoir saldo door te rekenen volgens de tariefmethodologie in het boekjaar "&amp;F314</f>
        <v>Aanwending van 60% van het geaccumuleerd regulatoir saldo door te rekenen volgens de tariefmethodologie in het boekjaar 2018</v>
      </c>
      <c r="L316" s="675" t="str">
        <f>"Totale afbouw over "&amp;F314</f>
        <v>Totale afbouw over 2018</v>
      </c>
      <c r="M316" s="20"/>
      <c r="N316" s="675" t="str">
        <f>"Nog af te bouwen regulatoir saldo einde "&amp;F314</f>
        <v>Nog af te bouwen regulatoir saldo einde 2018</v>
      </c>
      <c r="O316" s="610"/>
    </row>
    <row r="317" spans="2:15" ht="13" x14ac:dyDescent="0.25">
      <c r="B317" s="1057">
        <v>2015</v>
      </c>
      <c r="C317" s="1058"/>
      <c r="D317" s="1058"/>
      <c r="E317" s="1059"/>
      <c r="F317" s="896"/>
      <c r="G317" s="839">
        <f>K312</f>
        <v>0</v>
      </c>
      <c r="H317" s="897">
        <f>IF(SIGN(G318*K312)&lt;0,IF(G317&lt;&gt;0,-SIGN(G317)*MIN(ABS(G318),ABS(G317)),0),0)</f>
        <v>0</v>
      </c>
      <c r="I317" s="839">
        <f>+G317+H317</f>
        <v>0</v>
      </c>
      <c r="J317" s="698"/>
      <c r="K317" s="897">
        <f>-MIN(ABS(I317),ABS(J319))*SIGN(I317)</f>
        <v>0</v>
      </c>
      <c r="L317" s="898">
        <f>+K317+H317</f>
        <v>0</v>
      </c>
      <c r="M317" s="20"/>
      <c r="N317" s="839">
        <f>+I317+K317</f>
        <v>0</v>
      </c>
      <c r="O317" s="610"/>
    </row>
    <row r="318" spans="2:15" ht="13" x14ac:dyDescent="0.25">
      <c r="B318" s="1057">
        <v>2016</v>
      </c>
      <c r="C318" s="1058"/>
      <c r="D318" s="1058"/>
      <c r="E318" s="1059"/>
      <c r="F318" s="896"/>
      <c r="G318" s="839">
        <f>H127</f>
        <v>0</v>
      </c>
      <c r="H318" s="898">
        <f>IF(SIGN(G318*K312)&lt;0,-H317,0)</f>
        <v>0</v>
      </c>
      <c r="I318" s="839">
        <f>+G318+H318</f>
        <v>0</v>
      </c>
      <c r="J318" s="698"/>
      <c r="K318" s="897">
        <f>-MIN(ABS(I318),ABS(J319-K317))*SIGN(I318)</f>
        <v>0</v>
      </c>
      <c r="L318" s="898">
        <f>+K318+H318</f>
        <v>0</v>
      </c>
      <c r="M318" s="20"/>
      <c r="N318" s="839">
        <f>+I318+K318</f>
        <v>0</v>
      </c>
      <c r="O318" s="610"/>
    </row>
    <row r="319" spans="2:15" s="18" customFormat="1" ht="13" x14ac:dyDescent="0.3">
      <c r="G319" s="899">
        <f>SUM(G317:G318)</f>
        <v>0</v>
      </c>
      <c r="H319" s="899">
        <f>SUM(H317:H318)</f>
        <v>0</v>
      </c>
      <c r="I319" s="899">
        <f>SUM(I317:I318)</f>
        <v>0</v>
      </c>
      <c r="J319" s="899">
        <f>-I319*0.6</f>
        <v>0</v>
      </c>
      <c r="K319" s="900">
        <f>SUM(K317:K318)</f>
        <v>0</v>
      </c>
      <c r="L319" s="901"/>
      <c r="N319" s="899">
        <f>SUM(N317:N318)</f>
        <v>0</v>
      </c>
    </row>
    <row r="320" spans="2:15" x14ac:dyDescent="0.25">
      <c r="M320" s="610"/>
    </row>
    <row r="321" spans="2:15" ht="13" x14ac:dyDescent="0.3">
      <c r="B321" s="18" t="s">
        <v>362</v>
      </c>
      <c r="F321" s="895">
        <v>2019</v>
      </c>
      <c r="M321" s="20"/>
    </row>
    <row r="322" spans="2:15" x14ac:dyDescent="0.25">
      <c r="M322" s="20"/>
    </row>
    <row r="323" spans="2:15" ht="75.75" customHeight="1" x14ac:dyDescent="0.25">
      <c r="B323" s="1060" t="s">
        <v>363</v>
      </c>
      <c r="C323" s="1061"/>
      <c r="D323" s="1061"/>
      <c r="E323" s="1062"/>
      <c r="F323" s="599"/>
      <c r="G323" s="675" t="str">
        <f>"Nog af te bouwen regulatoir saldo einde "&amp;F321-1</f>
        <v>Nog af te bouwen regulatoir saldo einde 2018</v>
      </c>
      <c r="H323" s="675" t="str">
        <f>"Afbouw oudste openstaande regulatoir saldo vanaf boekjaar "&amp;F321-3&amp;" en vroeger, door aanwending van compensatie met regulatoir saldo ontstaan over boekjaar "&amp;F321-2</f>
        <v>Afbouw oudste openstaande regulatoir saldo vanaf boekjaar 2016 en vroeger, door aanwending van compensatie met regulatoir saldo ontstaan over boekjaar 2017</v>
      </c>
      <c r="I323" s="675" t="str">
        <f>"Nog af te bouwen regulatoir saldo na compensatie einde "&amp;F321-1</f>
        <v>Nog af te bouwen regulatoir saldo na compensatie einde 2018</v>
      </c>
      <c r="J323" s="675" t="str">
        <f>"60% van het geaccumuleerd regulatoir saldo door te rekenen volgens de tariefmethodologie in het boekjaar "&amp;F321</f>
        <v>60% van het geaccumuleerd regulatoir saldo door te rekenen volgens de tariefmethodologie in het boekjaar 2019</v>
      </c>
      <c r="K323" s="675" t="str">
        <f>"Aanwending van het 60% van het geaccumuleerd regulatoir saldo door te rekenen volgens de tariefmethodologie in het boekjaar "&amp;F321</f>
        <v>Aanwending van het 60% van het geaccumuleerd regulatoir saldo door te rekenen volgens de tariefmethodologie in het boekjaar 2019</v>
      </c>
      <c r="L323" s="675" t="str">
        <f>"Totale afbouw over "&amp;F321</f>
        <v>Totale afbouw over 2019</v>
      </c>
      <c r="M323" s="20"/>
      <c r="N323" s="675" t="str">
        <f>"Nog af te bouwen regulatoir saldo einde "&amp;F321</f>
        <v>Nog af te bouwen regulatoir saldo einde 2019</v>
      </c>
      <c r="O323" s="610"/>
    </row>
    <row r="324" spans="2:15" ht="13" x14ac:dyDescent="0.25">
      <c r="B324" s="1057">
        <v>2015</v>
      </c>
      <c r="C324" s="1058"/>
      <c r="D324" s="1058"/>
      <c r="E324" s="1059"/>
      <c r="F324" s="896"/>
      <c r="G324" s="839">
        <f>+N317</f>
        <v>0</v>
      </c>
      <c r="H324" s="898">
        <f>IF(SIGN(G326*N319)&lt;0,IF(G324&lt;&gt;0,-SIGN(G324)*MIN(ABS(G326),ABS(G324)),0),0)</f>
        <v>0</v>
      </c>
      <c r="I324" s="839">
        <f>+G324+H324</f>
        <v>0</v>
      </c>
      <c r="J324" s="698"/>
      <c r="K324" s="897">
        <f>-MIN(ABS(I324),ABS(J327))*SIGN(I324)</f>
        <v>0</v>
      </c>
      <c r="L324" s="898">
        <f>+K324+H324</f>
        <v>0</v>
      </c>
      <c r="M324" s="20"/>
      <c r="N324" s="839">
        <f>+I324+K324</f>
        <v>0</v>
      </c>
      <c r="O324" s="610"/>
    </row>
    <row r="325" spans="2:15" ht="13" x14ac:dyDescent="0.25">
      <c r="B325" s="1057">
        <v>2016</v>
      </c>
      <c r="C325" s="1058"/>
      <c r="D325" s="1058">
        <v>2016</v>
      </c>
      <c r="E325" s="1059"/>
      <c r="F325" s="896"/>
      <c r="G325" s="839">
        <f>+N318</f>
        <v>0</v>
      </c>
      <c r="H325" s="898">
        <f>IF(SIGN(G326*N319)&lt;0,IF(G325&lt;&gt;0,-SIGN(G325)*MIN(ABS(G326-H324),ABS(G325)),0),0)</f>
        <v>0</v>
      </c>
      <c r="I325" s="839">
        <f>+G325+H325</f>
        <v>0</v>
      </c>
      <c r="J325" s="698"/>
      <c r="K325" s="897">
        <f>-MIN(ABS(I325),ABS(J327-K324))*SIGN(I325)</f>
        <v>0</v>
      </c>
      <c r="L325" s="898">
        <f>+K325+H325</f>
        <v>0</v>
      </c>
      <c r="M325" s="20"/>
      <c r="N325" s="839">
        <f>+I325+K325</f>
        <v>0</v>
      </c>
      <c r="O325" s="610"/>
    </row>
    <row r="326" spans="2:15" ht="13" x14ac:dyDescent="0.25">
      <c r="B326" s="1057">
        <v>2017</v>
      </c>
      <c r="C326" s="1058"/>
      <c r="D326" s="1058"/>
      <c r="E326" s="1059"/>
      <c r="F326" s="896"/>
      <c r="G326" s="839">
        <f>I128</f>
        <v>0</v>
      </c>
      <c r="H326" s="898">
        <f>IF(SIGN(G326*N319)&lt;0,-SUM(H324:H325),0)</f>
        <v>0</v>
      </c>
      <c r="I326" s="839">
        <f>+G326+H326</f>
        <v>0</v>
      </c>
      <c r="J326" s="698"/>
      <c r="K326" s="897">
        <f>-MIN(ABS(I326),ABS(J327-K324-K325))*SIGN(I326)</f>
        <v>0</v>
      </c>
      <c r="L326" s="898">
        <f>+K326+H326</f>
        <v>0</v>
      </c>
      <c r="M326" s="20"/>
      <c r="N326" s="839">
        <f>+I326+K326</f>
        <v>0</v>
      </c>
      <c r="O326" s="610"/>
    </row>
    <row r="327" spans="2:15" s="18" customFormat="1" ht="13" x14ac:dyDescent="0.3">
      <c r="G327" s="899">
        <f>SUM(G324:G326)</f>
        <v>0</v>
      </c>
      <c r="H327" s="899">
        <f>SUM(H324:H326)</f>
        <v>0</v>
      </c>
      <c r="I327" s="899">
        <f>SUM(I324:I326)</f>
        <v>0</v>
      </c>
      <c r="J327" s="899">
        <f>-I327*0.6</f>
        <v>0</v>
      </c>
      <c r="K327" s="900">
        <f>SUM(K324:K326)</f>
        <v>0</v>
      </c>
      <c r="L327" s="901"/>
      <c r="N327" s="899">
        <f>SUM(N324:N326)</f>
        <v>0</v>
      </c>
    </row>
    <row r="328" spans="2:15" x14ac:dyDescent="0.25">
      <c r="M328" s="610"/>
    </row>
    <row r="329" spans="2:15" ht="13" x14ac:dyDescent="0.3">
      <c r="B329" s="18" t="s">
        <v>362</v>
      </c>
      <c r="F329" s="895">
        <v>2020</v>
      </c>
      <c r="M329" s="20"/>
    </row>
    <row r="330" spans="2:15" x14ac:dyDescent="0.25">
      <c r="M330" s="20"/>
    </row>
    <row r="331" spans="2:15" ht="78" customHeight="1" x14ac:dyDescent="0.25">
      <c r="B331" s="1060" t="s">
        <v>363</v>
      </c>
      <c r="C331" s="1061"/>
      <c r="D331" s="1061"/>
      <c r="E331" s="1062"/>
      <c r="F331" s="599"/>
      <c r="G331" s="675" t="str">
        <f>"Nog af te bouwen regulatoir saldo einde "&amp;F329-1</f>
        <v>Nog af te bouwen regulatoir saldo einde 2019</v>
      </c>
      <c r="H331" s="675" t="str">
        <f>"Afbouw oudste openstaande regulatoir saldo vanaf boekjaar "&amp;F329-3&amp;" en vroeger, door aanwending van compensatie met regulatoir saldo ontstaan over boekjaar "&amp;F329-2</f>
        <v>Afbouw oudste openstaande regulatoir saldo vanaf boekjaar 2017 en vroeger, door aanwending van compensatie met regulatoir saldo ontstaan over boekjaar 2018</v>
      </c>
      <c r="I331" s="675" t="str">
        <f>"Nog af te bouwen regulatoir saldo na compensatie einde "&amp;F329-1</f>
        <v>Nog af te bouwen regulatoir saldo na compensatie einde 2019</v>
      </c>
      <c r="J331" s="675" t="str">
        <f>"60% van het geaccumuleerd regulatoir saldo door te rekenen volgens de tariefmethodologie in het boekjaar "&amp;F329</f>
        <v>60% van het geaccumuleerd regulatoir saldo door te rekenen volgens de tariefmethodologie in het boekjaar 2020</v>
      </c>
      <c r="K331" s="675" t="str">
        <f>"Aanwending van het 60% van het geaccumuleerd regulatoir saldo door te rekenen volgens de tariefmethodologie in het boekjaar "&amp;F329</f>
        <v>Aanwending van het 60% van het geaccumuleerd regulatoir saldo door te rekenen volgens de tariefmethodologie in het boekjaar 2020</v>
      </c>
      <c r="L331" s="675" t="str">
        <f>"Totale afbouw over "&amp;F329</f>
        <v>Totale afbouw over 2020</v>
      </c>
      <c r="M331" s="20"/>
      <c r="N331" s="675" t="str">
        <f>"Nog af te bouwen regulatoir saldo einde "&amp;F329</f>
        <v>Nog af te bouwen regulatoir saldo einde 2020</v>
      </c>
      <c r="O331" s="610"/>
    </row>
    <row r="332" spans="2:15" ht="13" x14ac:dyDescent="0.25">
      <c r="B332" s="1057">
        <v>2015</v>
      </c>
      <c r="C332" s="1058"/>
      <c r="D332" s="1058"/>
      <c r="E332" s="1059"/>
      <c r="F332" s="896"/>
      <c r="G332" s="839">
        <f>+N324</f>
        <v>0</v>
      </c>
      <c r="H332" s="898">
        <f>IF(SIGN(G335*N327)&lt;0,IF(G332&lt;&gt;0,-SIGN(G332)*MIN(ABS(G335),ABS(G332)),0),0)</f>
        <v>0</v>
      </c>
      <c r="I332" s="839">
        <f>+G332+H332</f>
        <v>0</v>
      </c>
      <c r="J332" s="698"/>
      <c r="K332" s="897">
        <f>-MIN(ABS(I332),ABS(J336))*SIGN(I332)</f>
        <v>0</v>
      </c>
      <c r="L332" s="898">
        <f>+K332+H332</f>
        <v>0</v>
      </c>
      <c r="M332" s="20"/>
      <c r="N332" s="839">
        <f>+I332+K332</f>
        <v>0</v>
      </c>
      <c r="O332" s="610"/>
    </row>
    <row r="333" spans="2:15" ht="13" x14ac:dyDescent="0.25">
      <c r="B333" s="1057">
        <v>2016</v>
      </c>
      <c r="C333" s="1058"/>
      <c r="D333" s="1058"/>
      <c r="E333" s="1059"/>
      <c r="F333" s="896"/>
      <c r="G333" s="839">
        <f>+N325</f>
        <v>0</v>
      </c>
      <c r="H333" s="898">
        <f>IF(SIGN(G335*N327)&lt;0,IF(G333&lt;&gt;0,-SIGN(G333)*MIN(ABS(G335-H332),ABS(G333)),0),0)</f>
        <v>0</v>
      </c>
      <c r="I333" s="839">
        <f>+G333+H333</f>
        <v>0</v>
      </c>
      <c r="J333" s="698"/>
      <c r="K333" s="897">
        <f>-MIN(ABS(I333),ABS(J336-K332))*SIGN(I333)</f>
        <v>0</v>
      </c>
      <c r="L333" s="898">
        <f>+K333+H333</f>
        <v>0</v>
      </c>
      <c r="M333" s="20"/>
      <c r="N333" s="839">
        <f>+I333+K333</f>
        <v>0</v>
      </c>
      <c r="O333" s="610"/>
    </row>
    <row r="334" spans="2:15" ht="13" x14ac:dyDescent="0.25">
      <c r="B334" s="1057">
        <v>2017</v>
      </c>
      <c r="C334" s="1058"/>
      <c r="D334" s="1058">
        <v>2016</v>
      </c>
      <c r="E334" s="1059"/>
      <c r="F334" s="896"/>
      <c r="G334" s="839">
        <f>+N326</f>
        <v>0</v>
      </c>
      <c r="H334" s="898">
        <f>IF(SIGN(G335*N327)&lt;0,IF(G334&lt;&gt;0,-SIGN(G334)*MIN(ABS(G335-H332-H333),ABS(G334)),0),0)</f>
        <v>0</v>
      </c>
      <c r="I334" s="839">
        <f>+G334+H334</f>
        <v>0</v>
      </c>
      <c r="J334" s="698"/>
      <c r="K334" s="897">
        <f>-MIN(ABS(I334),ABS(J336-K332-K333))*SIGN(I334)</f>
        <v>0</v>
      </c>
      <c r="L334" s="898">
        <f>+K334+H334</f>
        <v>0</v>
      </c>
      <c r="M334" s="20"/>
      <c r="N334" s="839">
        <f>+I334+K334</f>
        <v>0</v>
      </c>
      <c r="O334" s="610"/>
    </row>
    <row r="335" spans="2:15" ht="13" x14ac:dyDescent="0.25">
      <c r="B335" s="1057">
        <v>2018</v>
      </c>
      <c r="C335" s="1058"/>
      <c r="D335" s="1058"/>
      <c r="E335" s="1059"/>
      <c r="F335" s="896"/>
      <c r="G335" s="839">
        <f>J129</f>
        <v>0</v>
      </c>
      <c r="H335" s="898">
        <f>IF(SIGN(G335*N327)&lt;0,-SUM(H332:H334),0)</f>
        <v>0</v>
      </c>
      <c r="I335" s="839">
        <f>+G335+H335</f>
        <v>0</v>
      </c>
      <c r="J335" s="698"/>
      <c r="K335" s="897">
        <f>-MIN(ABS(I335),ABS(J336-K332-K333-K334))*SIGN(I335)</f>
        <v>0</v>
      </c>
      <c r="L335" s="898">
        <f>+K335+H335</f>
        <v>0</v>
      </c>
      <c r="M335" s="20"/>
      <c r="N335" s="839">
        <f>+I335+K335</f>
        <v>0</v>
      </c>
      <c r="O335" s="610"/>
    </row>
    <row r="336" spans="2:15" s="18" customFormat="1" ht="13" x14ac:dyDescent="0.3">
      <c r="G336" s="899">
        <f>SUM(G332:G335)</f>
        <v>0</v>
      </c>
      <c r="H336" s="899">
        <f>SUM(H332:H335)</f>
        <v>0</v>
      </c>
      <c r="I336" s="899">
        <f>SUM(I332:I335)</f>
        <v>0</v>
      </c>
      <c r="J336" s="899">
        <f>-I336*0.6</f>
        <v>0</v>
      </c>
      <c r="K336" s="900">
        <f>SUM(K332:K335)</f>
        <v>0</v>
      </c>
      <c r="L336" s="900"/>
      <c r="N336" s="899">
        <f>SUM(N332:N335)</f>
        <v>0</v>
      </c>
    </row>
    <row r="339" spans="2:14" ht="13" x14ac:dyDescent="0.3">
      <c r="B339" s="18" t="s">
        <v>364</v>
      </c>
      <c r="C339" s="381"/>
      <c r="D339" s="381"/>
      <c r="E339" s="381"/>
    </row>
    <row r="340" spans="2:14" ht="13" x14ac:dyDescent="0.3">
      <c r="B340" s="18"/>
      <c r="C340" s="381"/>
      <c r="D340" s="381"/>
      <c r="E340" s="381"/>
    </row>
    <row r="341" spans="2:14" ht="13" x14ac:dyDescent="0.3">
      <c r="B341" s="864">
        <f>F309</f>
        <v>2017</v>
      </c>
      <c r="C341" s="906">
        <f>J312</f>
        <v>0</v>
      </c>
      <c r="D341" s="381"/>
      <c r="E341" s="381"/>
    </row>
    <row r="342" spans="2:14" ht="13" x14ac:dyDescent="0.3">
      <c r="B342" s="864">
        <f>F314</f>
        <v>2018</v>
      </c>
      <c r="C342" s="906">
        <f>K319</f>
        <v>0</v>
      </c>
      <c r="D342" s="381"/>
      <c r="E342" s="381"/>
    </row>
    <row r="343" spans="2:14" ht="13" x14ac:dyDescent="0.3">
      <c r="B343" s="864">
        <f>F321</f>
        <v>2019</v>
      </c>
      <c r="C343" s="906">
        <f>K327</f>
        <v>0</v>
      </c>
      <c r="D343" s="381"/>
      <c r="E343" s="381"/>
    </row>
    <row r="344" spans="2:14" ht="13" x14ac:dyDescent="0.3">
      <c r="B344" s="864">
        <f>F329</f>
        <v>2020</v>
      </c>
      <c r="C344" s="906">
        <f>K336</f>
        <v>0</v>
      </c>
      <c r="D344" s="381"/>
      <c r="E344" s="381"/>
    </row>
    <row r="345" spans="2:14" x14ac:dyDescent="0.25">
      <c r="M345" s="610"/>
    </row>
    <row r="346" spans="2:14" x14ac:dyDescent="0.25">
      <c r="M346" s="610"/>
    </row>
    <row r="347" spans="2:14" ht="13" x14ac:dyDescent="0.3">
      <c r="B347" s="902" t="s">
        <v>239</v>
      </c>
      <c r="C347" s="903"/>
      <c r="D347" s="903"/>
      <c r="E347" s="903"/>
      <c r="F347" s="904"/>
      <c r="G347" s="904"/>
      <c r="H347" s="904"/>
      <c r="I347" s="904"/>
      <c r="J347" s="904"/>
      <c r="K347" s="904"/>
      <c r="L347" s="904"/>
      <c r="M347" s="905"/>
      <c r="N347" s="904"/>
    </row>
    <row r="348" spans="2:14" x14ac:dyDescent="0.25">
      <c r="M348" s="610"/>
    </row>
    <row r="349" spans="2:14" ht="13" x14ac:dyDescent="0.3">
      <c r="B349" s="18" t="s">
        <v>362</v>
      </c>
      <c r="F349" s="895">
        <v>2017</v>
      </c>
      <c r="M349" s="610"/>
    </row>
    <row r="350" spans="2:14" x14ac:dyDescent="0.25">
      <c r="L350" s="610"/>
      <c r="M350" s="20"/>
    </row>
    <row r="351" spans="2:14" ht="82.5" customHeight="1" x14ac:dyDescent="0.25">
      <c r="B351" s="1060" t="s">
        <v>363</v>
      </c>
      <c r="C351" s="1061"/>
      <c r="D351" s="1061"/>
      <c r="E351" s="1062"/>
      <c r="F351" s="599"/>
      <c r="G351" s="675" t="str">
        <f>"Nog af te bouwen regulatoir saldo einde "&amp;F349-1</f>
        <v>Nog af te bouwen regulatoir saldo einde 2016</v>
      </c>
      <c r="H351" s="675" t="str">
        <f>"Afbouw oudste openstaande regulatoir saldo vanaf boekjaar "&amp;F349-3&amp;" en vroeger, door aanwending van compensatie met regulatoir saldo ontstaan over boekjaar "&amp;F349-2</f>
        <v>Afbouw oudste openstaande regulatoir saldo vanaf boekjaar 2014 en vroeger, door aanwending van compensatie met regulatoir saldo ontstaan over boekjaar 2015</v>
      </c>
      <c r="I351" s="675" t="str">
        <f>"Nog af te bouwen regulatoir saldo na compensatie einde "&amp;F349-1</f>
        <v>Nog af te bouwen regulatoir saldo na compensatie einde 2016</v>
      </c>
      <c r="J351" s="675" t="str">
        <f>"Aanwending van 60% van het geaccumuleerd regulatoir saldo door te rekenen volgens de tariefmethodologie in het boekjaar "&amp;F349</f>
        <v>Aanwending van 60% van het geaccumuleerd regulatoir saldo door te rekenen volgens de tariefmethodologie in het boekjaar 2017</v>
      </c>
      <c r="K351" s="675" t="str">
        <f>"Nog af te bouwen regulatoir saldo einde "&amp;F349</f>
        <v>Nog af te bouwen regulatoir saldo einde 2017</v>
      </c>
      <c r="L351" s="610"/>
      <c r="M351" s="20"/>
    </row>
    <row r="352" spans="2:14" ht="13" x14ac:dyDescent="0.25">
      <c r="B352" s="1057">
        <v>2015</v>
      </c>
      <c r="C352" s="1058"/>
      <c r="D352" s="1058"/>
      <c r="E352" s="1059"/>
      <c r="F352" s="896"/>
      <c r="G352" s="839">
        <f>G133</f>
        <v>0</v>
      </c>
      <c r="H352" s="897">
        <v>0</v>
      </c>
      <c r="I352" s="839">
        <f>+G352+H352</f>
        <v>0</v>
      </c>
      <c r="J352" s="839">
        <f>-I352*0.6</f>
        <v>0</v>
      </c>
      <c r="K352" s="908">
        <f>+J352+G352</f>
        <v>0</v>
      </c>
      <c r="L352" s="610"/>
      <c r="M352" s="20"/>
    </row>
    <row r="353" spans="2:15" x14ac:dyDescent="0.25">
      <c r="L353" s="610"/>
      <c r="M353" s="20"/>
    </row>
    <row r="354" spans="2:15" ht="13" x14ac:dyDescent="0.3">
      <c r="B354" s="18" t="s">
        <v>362</v>
      </c>
      <c r="F354" s="895">
        <v>2018</v>
      </c>
      <c r="M354" s="610"/>
    </row>
    <row r="355" spans="2:15" x14ac:dyDescent="0.25">
      <c r="M355" s="610"/>
    </row>
    <row r="356" spans="2:15" ht="69.75" customHeight="1" x14ac:dyDescent="0.25">
      <c r="B356" s="1060" t="s">
        <v>363</v>
      </c>
      <c r="C356" s="1061"/>
      <c r="D356" s="1061"/>
      <c r="E356" s="1062"/>
      <c r="F356" s="599"/>
      <c r="G356" s="675" t="str">
        <f>"Nog af te bouwen regulatoir saldo einde "&amp;F354-1</f>
        <v>Nog af te bouwen regulatoir saldo einde 2017</v>
      </c>
      <c r="H356" s="675" t="str">
        <f>"Afbouw oudste openstaande regulatoir saldo vanaf boekjaar "&amp;F354-3&amp;" en vroeger, door aanwending van compensatie met regulatoir saldo ontstaan over boekjaar "&amp;F354-2</f>
        <v>Afbouw oudste openstaande regulatoir saldo vanaf boekjaar 2015 en vroeger, door aanwending van compensatie met regulatoir saldo ontstaan over boekjaar 2016</v>
      </c>
      <c r="I356" s="675" t="str">
        <f>"Nog af te bouwen regulatoir saldo na compensatie einde "&amp;F354-1</f>
        <v>Nog af te bouwen regulatoir saldo na compensatie einde 2017</v>
      </c>
      <c r="J356" s="675" t="str">
        <f>"60% van het geaccumuleerd regulatoir saldo door te rekenen volgens de tariefmethodologie in het boekjaar "&amp;F354</f>
        <v>60% van het geaccumuleerd regulatoir saldo door te rekenen volgens de tariefmethodologie in het boekjaar 2018</v>
      </c>
      <c r="K356" s="675" t="str">
        <f>"Aanwending van 60% van het geaccumuleerd regulatoir saldo door te rekenen volgens de tariefmethodologie in het boekjaar "&amp;F354</f>
        <v>Aanwending van 60% van het geaccumuleerd regulatoir saldo door te rekenen volgens de tariefmethodologie in het boekjaar 2018</v>
      </c>
      <c r="L356" s="675" t="str">
        <f>"Totale afbouw over "&amp;F354</f>
        <v>Totale afbouw over 2018</v>
      </c>
      <c r="M356" s="20"/>
      <c r="N356" s="675" t="str">
        <f>"Nog af te bouwen regulatoir saldo einde "&amp;F354</f>
        <v>Nog af te bouwen regulatoir saldo einde 2018</v>
      </c>
      <c r="O356" s="610"/>
    </row>
    <row r="357" spans="2:15" ht="13" x14ac:dyDescent="0.25">
      <c r="B357" s="1057">
        <v>2015</v>
      </c>
      <c r="C357" s="1058"/>
      <c r="D357" s="1058"/>
      <c r="E357" s="1059"/>
      <c r="F357" s="896"/>
      <c r="G357" s="839">
        <f>K352</f>
        <v>0</v>
      </c>
      <c r="H357" s="897">
        <f>IF(SIGN(G358*K352)&lt;0,IF(G357&lt;&gt;0,-SIGN(G357)*MIN(ABS(G358),ABS(G357)),0),0)</f>
        <v>0</v>
      </c>
      <c r="I357" s="839">
        <f>+G357+H357</f>
        <v>0</v>
      </c>
      <c r="J357" s="698"/>
      <c r="K357" s="897">
        <f>-MIN(ABS(I357),ABS(J359))*SIGN(I357)</f>
        <v>0</v>
      </c>
      <c r="L357" s="898">
        <f>+K357+H357</f>
        <v>0</v>
      </c>
      <c r="M357" s="20"/>
      <c r="N357" s="839">
        <f>+I357+K357</f>
        <v>0</v>
      </c>
      <c r="O357" s="610"/>
    </row>
    <row r="358" spans="2:15" ht="13" x14ac:dyDescent="0.25">
      <c r="B358" s="1057">
        <v>2016</v>
      </c>
      <c r="C358" s="1058"/>
      <c r="D358" s="1058"/>
      <c r="E358" s="1059"/>
      <c r="F358" s="896"/>
      <c r="G358" s="839">
        <f>H134</f>
        <v>0</v>
      </c>
      <c r="H358" s="898">
        <f>IF(SIGN(G358*K352)&lt;0,-H357,0)</f>
        <v>0</v>
      </c>
      <c r="I358" s="839">
        <f>+G358+H358</f>
        <v>0</v>
      </c>
      <c r="J358" s="698"/>
      <c r="K358" s="897">
        <f>-MIN(ABS(I358),ABS(J359-K357))*SIGN(I358)</f>
        <v>0</v>
      </c>
      <c r="L358" s="898">
        <f>+K358+H358</f>
        <v>0</v>
      </c>
      <c r="M358" s="20"/>
      <c r="N358" s="839">
        <f>+I358+K358</f>
        <v>0</v>
      </c>
      <c r="O358" s="610"/>
    </row>
    <row r="359" spans="2:15" s="18" customFormat="1" ht="13" x14ac:dyDescent="0.3">
      <c r="G359" s="899">
        <f>SUM(G357:G358)</f>
        <v>0</v>
      </c>
      <c r="H359" s="899">
        <f>SUM(H357:H358)</f>
        <v>0</v>
      </c>
      <c r="I359" s="899">
        <f>SUM(I357:I358)</f>
        <v>0</v>
      </c>
      <c r="J359" s="899">
        <f>-I359*0.6</f>
        <v>0</v>
      </c>
      <c r="K359" s="900">
        <f>SUM(K357:K358)</f>
        <v>0</v>
      </c>
      <c r="L359" s="901"/>
      <c r="N359" s="899">
        <f>SUM(N357:N358)</f>
        <v>0</v>
      </c>
    </row>
    <row r="360" spans="2:15" x14ac:dyDescent="0.25">
      <c r="M360" s="610"/>
    </row>
    <row r="361" spans="2:15" ht="13" x14ac:dyDescent="0.3">
      <c r="B361" s="18" t="s">
        <v>362</v>
      </c>
      <c r="F361" s="895">
        <v>2019</v>
      </c>
      <c r="M361" s="20"/>
    </row>
    <row r="362" spans="2:15" x14ac:dyDescent="0.25">
      <c r="M362" s="20"/>
    </row>
    <row r="363" spans="2:15" ht="75.75" customHeight="1" x14ac:dyDescent="0.25">
      <c r="B363" s="1060" t="s">
        <v>363</v>
      </c>
      <c r="C363" s="1061"/>
      <c r="D363" s="1061"/>
      <c r="E363" s="1062"/>
      <c r="F363" s="599"/>
      <c r="G363" s="675" t="str">
        <f>"Nog af te bouwen regulatoir saldo einde "&amp;F361-1</f>
        <v>Nog af te bouwen regulatoir saldo einde 2018</v>
      </c>
      <c r="H363" s="675" t="str">
        <f>"Afbouw oudste openstaande regulatoir saldo vanaf boekjaar "&amp;F361-3&amp;" en vroeger, door aanwending van compensatie met regulatoir saldo ontstaan over boekjaar "&amp;F361-2</f>
        <v>Afbouw oudste openstaande regulatoir saldo vanaf boekjaar 2016 en vroeger, door aanwending van compensatie met regulatoir saldo ontstaan over boekjaar 2017</v>
      </c>
      <c r="I363" s="675" t="str">
        <f>"Nog af te bouwen regulatoir saldo na compensatie einde "&amp;F361-1</f>
        <v>Nog af te bouwen regulatoir saldo na compensatie einde 2018</v>
      </c>
      <c r="J363" s="675" t="str">
        <f>"60% van het geaccumuleerd regulatoir saldo door te rekenen volgens de tariefmethodologie in het boekjaar "&amp;F361</f>
        <v>60% van het geaccumuleerd regulatoir saldo door te rekenen volgens de tariefmethodologie in het boekjaar 2019</v>
      </c>
      <c r="K363" s="675" t="str">
        <f>"Aanwending van het 60% van het geaccumuleerd regulatoir saldo door te rekenen volgens de tariefmethodologie in het boekjaar "&amp;F361</f>
        <v>Aanwending van het 60% van het geaccumuleerd regulatoir saldo door te rekenen volgens de tariefmethodologie in het boekjaar 2019</v>
      </c>
      <c r="L363" s="675" t="str">
        <f>"Totale afbouw over "&amp;F361</f>
        <v>Totale afbouw over 2019</v>
      </c>
      <c r="M363" s="20"/>
      <c r="N363" s="675" t="str">
        <f>"Nog af te bouwen regulatoir saldo einde "&amp;F361</f>
        <v>Nog af te bouwen regulatoir saldo einde 2019</v>
      </c>
      <c r="O363" s="610"/>
    </row>
    <row r="364" spans="2:15" ht="13" x14ac:dyDescent="0.25">
      <c r="B364" s="1057">
        <v>2015</v>
      </c>
      <c r="C364" s="1058"/>
      <c r="D364" s="1058"/>
      <c r="E364" s="1059"/>
      <c r="F364" s="896"/>
      <c r="G364" s="839">
        <f>+N357</f>
        <v>0</v>
      </c>
      <c r="H364" s="898">
        <f>IF(SIGN(G366*N359)&lt;0,IF(G364&lt;&gt;0,-SIGN(G364)*MIN(ABS(G366),ABS(G364)),0),0)</f>
        <v>0</v>
      </c>
      <c r="I364" s="839">
        <f>+G364+H364</f>
        <v>0</v>
      </c>
      <c r="J364" s="698"/>
      <c r="K364" s="897">
        <f>-MIN(ABS(I364),ABS(J367))*SIGN(I364)</f>
        <v>0</v>
      </c>
      <c r="L364" s="898">
        <f>+K364+H364</f>
        <v>0</v>
      </c>
      <c r="M364" s="20"/>
      <c r="N364" s="839">
        <f>+I364+K364</f>
        <v>0</v>
      </c>
      <c r="O364" s="610"/>
    </row>
    <row r="365" spans="2:15" ht="13" x14ac:dyDescent="0.25">
      <c r="B365" s="1057">
        <v>2016</v>
      </c>
      <c r="C365" s="1058"/>
      <c r="D365" s="1058">
        <v>2016</v>
      </c>
      <c r="E365" s="1059"/>
      <c r="F365" s="896"/>
      <c r="G365" s="839">
        <f>+N358</f>
        <v>0</v>
      </c>
      <c r="H365" s="898">
        <f>IF(SIGN(G366*N359)&lt;0,IF(G365&lt;&gt;0,-SIGN(G365)*MIN(ABS(G366-H364),ABS(G365)),0),0)</f>
        <v>0</v>
      </c>
      <c r="I365" s="839">
        <f>+G365+H365</f>
        <v>0</v>
      </c>
      <c r="J365" s="698"/>
      <c r="K365" s="897">
        <f>-MIN(ABS(I365),ABS(J367-K364))*SIGN(I365)</f>
        <v>0</v>
      </c>
      <c r="L365" s="898">
        <f>+K365+H365</f>
        <v>0</v>
      </c>
      <c r="M365" s="20"/>
      <c r="N365" s="839">
        <f>+I365+K365</f>
        <v>0</v>
      </c>
      <c r="O365" s="610"/>
    </row>
    <row r="366" spans="2:15" ht="13" x14ac:dyDescent="0.25">
      <c r="B366" s="1057">
        <v>2017</v>
      </c>
      <c r="C366" s="1058"/>
      <c r="D366" s="1058"/>
      <c r="E366" s="1059"/>
      <c r="F366" s="896"/>
      <c r="G366" s="839">
        <f>I135</f>
        <v>0</v>
      </c>
      <c r="H366" s="898">
        <f>IF(SIGN(G366*N359)&lt;0,-SUM(H364:H365),0)</f>
        <v>0</v>
      </c>
      <c r="I366" s="839">
        <f>+G366+H366</f>
        <v>0</v>
      </c>
      <c r="J366" s="698"/>
      <c r="K366" s="897">
        <f>-MIN(ABS(I366),ABS(J367-K364-K365))*SIGN(I366)</f>
        <v>0</v>
      </c>
      <c r="L366" s="898">
        <f>+K366+H366</f>
        <v>0</v>
      </c>
      <c r="M366" s="20"/>
      <c r="N366" s="839">
        <f>+I366+K366</f>
        <v>0</v>
      </c>
      <c r="O366" s="610"/>
    </row>
    <row r="367" spans="2:15" s="18" customFormat="1" ht="13" x14ac:dyDescent="0.3">
      <c r="G367" s="899">
        <f>SUM(G364:G366)</f>
        <v>0</v>
      </c>
      <c r="H367" s="899">
        <f>SUM(H364:H366)</f>
        <v>0</v>
      </c>
      <c r="I367" s="899">
        <f>SUM(I364:I366)</f>
        <v>0</v>
      </c>
      <c r="J367" s="899">
        <f>-I367*0.6</f>
        <v>0</v>
      </c>
      <c r="K367" s="900">
        <f>SUM(K364:K366)</f>
        <v>0</v>
      </c>
      <c r="L367" s="901"/>
      <c r="N367" s="899">
        <f>SUM(N364:N366)</f>
        <v>0</v>
      </c>
    </row>
    <row r="368" spans="2:15" x14ac:dyDescent="0.25">
      <c r="M368" s="610"/>
    </row>
    <row r="369" spans="2:15" ht="13" x14ac:dyDescent="0.3">
      <c r="B369" s="18" t="s">
        <v>362</v>
      </c>
      <c r="F369" s="895">
        <v>2020</v>
      </c>
      <c r="M369" s="20"/>
    </row>
    <row r="370" spans="2:15" x14ac:dyDescent="0.25">
      <c r="M370" s="20"/>
    </row>
    <row r="371" spans="2:15" ht="78" customHeight="1" x14ac:dyDescent="0.25">
      <c r="B371" s="1060" t="s">
        <v>363</v>
      </c>
      <c r="C371" s="1061"/>
      <c r="D371" s="1061"/>
      <c r="E371" s="1062"/>
      <c r="F371" s="599"/>
      <c r="G371" s="675" t="str">
        <f>"Nog af te bouwen regulatoir saldo einde "&amp;F369-1</f>
        <v>Nog af te bouwen regulatoir saldo einde 2019</v>
      </c>
      <c r="H371" s="675" t="str">
        <f>"Afbouw oudste openstaande regulatoir saldo vanaf boekjaar "&amp;F369-3&amp;" en vroeger, door aanwending van compensatie met regulatoir saldo ontstaan over boekjaar "&amp;F369-2</f>
        <v>Afbouw oudste openstaande regulatoir saldo vanaf boekjaar 2017 en vroeger, door aanwending van compensatie met regulatoir saldo ontstaan over boekjaar 2018</v>
      </c>
      <c r="I371" s="675" t="str">
        <f>"Nog af te bouwen regulatoir saldo na compensatie einde "&amp;F369-1</f>
        <v>Nog af te bouwen regulatoir saldo na compensatie einde 2019</v>
      </c>
      <c r="J371" s="675" t="str">
        <f>"60% van het geaccumuleerd regulatoir saldo door te rekenen volgens de tariefmethodologie in het boekjaar "&amp;F369</f>
        <v>60% van het geaccumuleerd regulatoir saldo door te rekenen volgens de tariefmethodologie in het boekjaar 2020</v>
      </c>
      <c r="K371" s="675" t="str">
        <f>"Aanwending van het 60% van het geaccumuleerd regulatoir saldo door te rekenen volgens de tariefmethodologie in het boekjaar "&amp;F369</f>
        <v>Aanwending van het 60% van het geaccumuleerd regulatoir saldo door te rekenen volgens de tariefmethodologie in het boekjaar 2020</v>
      </c>
      <c r="L371" s="675" t="str">
        <f>"Totale afbouw over "&amp;F369</f>
        <v>Totale afbouw over 2020</v>
      </c>
      <c r="M371" s="20"/>
      <c r="N371" s="675" t="str">
        <f>"Nog af te bouwen regulatoir saldo einde "&amp;F369</f>
        <v>Nog af te bouwen regulatoir saldo einde 2020</v>
      </c>
      <c r="O371" s="610"/>
    </row>
    <row r="372" spans="2:15" ht="13" x14ac:dyDescent="0.25">
      <c r="B372" s="1057">
        <v>2015</v>
      </c>
      <c r="C372" s="1058"/>
      <c r="D372" s="1058"/>
      <c r="E372" s="1059"/>
      <c r="F372" s="896"/>
      <c r="G372" s="839">
        <f>+N364</f>
        <v>0</v>
      </c>
      <c r="H372" s="898">
        <f>IF(SIGN(G375*N367)&lt;0,IF(G372&lt;&gt;0,-SIGN(G372)*MIN(ABS(G375),ABS(G372)),0),0)</f>
        <v>0</v>
      </c>
      <c r="I372" s="839">
        <f>+G372+H372</f>
        <v>0</v>
      </c>
      <c r="J372" s="698"/>
      <c r="K372" s="897">
        <f>-MIN(ABS(I372),ABS(J376))*SIGN(I372)</f>
        <v>0</v>
      </c>
      <c r="L372" s="898">
        <f>+K372+H372</f>
        <v>0</v>
      </c>
      <c r="M372" s="20"/>
      <c r="N372" s="839">
        <f>+I372+K372</f>
        <v>0</v>
      </c>
      <c r="O372" s="610"/>
    </row>
    <row r="373" spans="2:15" ht="13" x14ac:dyDescent="0.25">
      <c r="B373" s="1057">
        <v>2016</v>
      </c>
      <c r="C373" s="1058"/>
      <c r="D373" s="1058"/>
      <c r="E373" s="1059"/>
      <c r="F373" s="896"/>
      <c r="G373" s="839">
        <f>+N365</f>
        <v>0</v>
      </c>
      <c r="H373" s="898">
        <f>IF(SIGN(G375*N367)&lt;0,IF(G373&lt;&gt;0,-SIGN(G373)*MIN(ABS(G375-H372),ABS(G373)),0),0)</f>
        <v>0</v>
      </c>
      <c r="I373" s="839">
        <f>+G373+H373</f>
        <v>0</v>
      </c>
      <c r="J373" s="698"/>
      <c r="K373" s="897">
        <f>-MIN(ABS(I373),ABS(J376-K372))*SIGN(I373)</f>
        <v>0</v>
      </c>
      <c r="L373" s="898">
        <f>+K373+H373</f>
        <v>0</v>
      </c>
      <c r="M373" s="20"/>
      <c r="N373" s="839">
        <f>+I373+K373</f>
        <v>0</v>
      </c>
      <c r="O373" s="610"/>
    </row>
    <row r="374" spans="2:15" ht="13" x14ac:dyDescent="0.25">
      <c r="B374" s="1057">
        <v>2017</v>
      </c>
      <c r="C374" s="1058"/>
      <c r="D374" s="1058">
        <v>2016</v>
      </c>
      <c r="E374" s="1059"/>
      <c r="F374" s="896"/>
      <c r="G374" s="839">
        <f>+N366</f>
        <v>0</v>
      </c>
      <c r="H374" s="898">
        <f>IF(SIGN(G375*N367)&lt;0,IF(G374&lt;&gt;0,-SIGN(G374)*MIN(ABS(G375-H372-H373),ABS(G374)),0),0)</f>
        <v>0</v>
      </c>
      <c r="I374" s="839">
        <f>+G374+H374</f>
        <v>0</v>
      </c>
      <c r="J374" s="698"/>
      <c r="K374" s="897">
        <f>-MIN(ABS(I374),ABS(J376-K372-K373))*SIGN(I374)</f>
        <v>0</v>
      </c>
      <c r="L374" s="898">
        <f>+K374+H374</f>
        <v>0</v>
      </c>
      <c r="M374" s="20"/>
      <c r="N374" s="839">
        <f>+I374+K374</f>
        <v>0</v>
      </c>
      <c r="O374" s="610"/>
    </row>
    <row r="375" spans="2:15" ht="13" x14ac:dyDescent="0.25">
      <c r="B375" s="1057">
        <v>2018</v>
      </c>
      <c r="C375" s="1058"/>
      <c r="D375" s="1058"/>
      <c r="E375" s="1059"/>
      <c r="F375" s="896"/>
      <c r="G375" s="839">
        <f>J136</f>
        <v>0</v>
      </c>
      <c r="H375" s="898">
        <f>IF(SIGN(G375*N367)&lt;0,-SUM(H372:H374),0)</f>
        <v>0</v>
      </c>
      <c r="I375" s="839">
        <f>+G375+H375</f>
        <v>0</v>
      </c>
      <c r="J375" s="698"/>
      <c r="K375" s="897">
        <f>-MIN(ABS(I375),ABS(J376-K372-K373-K374))*SIGN(I375)</f>
        <v>0</v>
      </c>
      <c r="L375" s="898">
        <f>+K375+H375</f>
        <v>0</v>
      </c>
      <c r="M375" s="20"/>
      <c r="N375" s="839">
        <f>+I375+K375</f>
        <v>0</v>
      </c>
      <c r="O375" s="610"/>
    </row>
    <row r="376" spans="2:15" s="18" customFormat="1" ht="13" x14ac:dyDescent="0.3">
      <c r="G376" s="899">
        <f>SUM(G372:G375)</f>
        <v>0</v>
      </c>
      <c r="H376" s="899">
        <f>SUM(H372:H375)</f>
        <v>0</v>
      </c>
      <c r="I376" s="899">
        <f>SUM(I372:I375)</f>
        <v>0</v>
      </c>
      <c r="J376" s="899">
        <f>-I376*0.6</f>
        <v>0</v>
      </c>
      <c r="K376" s="900">
        <f>SUM(K372:K375)</f>
        <v>0</v>
      </c>
      <c r="L376" s="900"/>
      <c r="N376" s="899">
        <f>SUM(N372:N375)</f>
        <v>0</v>
      </c>
    </row>
    <row r="379" spans="2:15" ht="13" x14ac:dyDescent="0.3">
      <c r="B379" s="18" t="s">
        <v>364</v>
      </c>
      <c r="C379" s="381"/>
      <c r="D379" s="381"/>
      <c r="E379" s="381"/>
    </row>
    <row r="380" spans="2:15" ht="13" x14ac:dyDescent="0.3">
      <c r="B380" s="18"/>
      <c r="C380" s="381"/>
      <c r="D380" s="381"/>
      <c r="E380" s="381"/>
    </row>
    <row r="381" spans="2:15" ht="13" x14ac:dyDescent="0.3">
      <c r="B381" s="864">
        <f>F349</f>
        <v>2017</v>
      </c>
      <c r="C381" s="906">
        <f>J352</f>
        <v>0</v>
      </c>
      <c r="D381" s="381"/>
      <c r="E381" s="381"/>
    </row>
    <row r="382" spans="2:15" ht="13" x14ac:dyDescent="0.3">
      <c r="B382" s="864">
        <f>F354</f>
        <v>2018</v>
      </c>
      <c r="C382" s="906">
        <f>K359</f>
        <v>0</v>
      </c>
      <c r="D382" s="381"/>
      <c r="E382" s="381"/>
    </row>
    <row r="383" spans="2:15" ht="13" x14ac:dyDescent="0.3">
      <c r="B383" s="864">
        <f>F361</f>
        <v>2019</v>
      </c>
      <c r="C383" s="906">
        <f>K367</f>
        <v>0</v>
      </c>
      <c r="D383" s="381"/>
      <c r="E383" s="381"/>
    </row>
    <row r="384" spans="2:15" ht="13" x14ac:dyDescent="0.3">
      <c r="B384" s="864">
        <f>F369</f>
        <v>2020</v>
      </c>
      <c r="C384" s="906">
        <f>K376</f>
        <v>0</v>
      </c>
      <c r="D384" s="381"/>
      <c r="E384" s="381"/>
    </row>
    <row r="385" spans="2:15" x14ac:dyDescent="0.25">
      <c r="M385" s="610"/>
    </row>
    <row r="386" spans="2:15" x14ac:dyDescent="0.25">
      <c r="M386" s="610"/>
    </row>
    <row r="387" spans="2:15" ht="13" x14ac:dyDescent="0.3">
      <c r="B387" s="902" t="s">
        <v>237</v>
      </c>
      <c r="C387" s="903"/>
      <c r="D387" s="903"/>
      <c r="E387" s="903"/>
      <c r="F387" s="904"/>
      <c r="G387" s="904"/>
      <c r="H387" s="904"/>
      <c r="I387" s="904"/>
      <c r="J387" s="904"/>
      <c r="K387" s="904"/>
      <c r="L387" s="904"/>
      <c r="M387" s="905"/>
      <c r="N387" s="904"/>
    </row>
    <row r="388" spans="2:15" x14ac:dyDescent="0.25">
      <c r="M388" s="610"/>
    </row>
    <row r="389" spans="2:15" ht="13" x14ac:dyDescent="0.3">
      <c r="B389" s="18" t="s">
        <v>362</v>
      </c>
      <c r="F389" s="895">
        <v>2017</v>
      </c>
      <c r="M389" s="610"/>
    </row>
    <row r="390" spans="2:15" x14ac:dyDescent="0.25">
      <c r="L390" s="610"/>
      <c r="M390" s="20"/>
    </row>
    <row r="391" spans="2:15" ht="82.5" customHeight="1" x14ac:dyDescent="0.25">
      <c r="B391" s="1060" t="s">
        <v>363</v>
      </c>
      <c r="C391" s="1061"/>
      <c r="D391" s="1061"/>
      <c r="E391" s="1062"/>
      <c r="F391" s="599"/>
      <c r="G391" s="675" t="str">
        <f>"Nog af te bouwen regulatoir saldo einde "&amp;F389-1</f>
        <v>Nog af te bouwen regulatoir saldo einde 2016</v>
      </c>
      <c r="H391" s="675" t="str">
        <f>"Afbouw oudste openstaande regulatoir saldo vanaf boekjaar "&amp;F389-3&amp;" en vroeger, door aanwending van compensatie met regulatoir saldo ontstaan over boekjaar "&amp;F389-2</f>
        <v>Afbouw oudste openstaande regulatoir saldo vanaf boekjaar 2014 en vroeger, door aanwending van compensatie met regulatoir saldo ontstaan over boekjaar 2015</v>
      </c>
      <c r="I391" s="675" t="str">
        <f>"Nog af te bouwen regulatoir saldo na compensatie einde "&amp;F389-1</f>
        <v>Nog af te bouwen regulatoir saldo na compensatie einde 2016</v>
      </c>
      <c r="J391" s="675" t="str">
        <f>"Aanwending van 60% van het geaccumuleerd regulatoir saldo door te rekenen volgens de tariefmethodologie in het boekjaar "&amp;F389</f>
        <v>Aanwending van 60% van het geaccumuleerd regulatoir saldo door te rekenen volgens de tariefmethodologie in het boekjaar 2017</v>
      </c>
      <c r="K391" s="675" t="str">
        <f>"Nog af te bouwen regulatoir saldo einde "&amp;F389</f>
        <v>Nog af te bouwen regulatoir saldo einde 2017</v>
      </c>
      <c r="L391" s="610"/>
      <c r="M391" s="20"/>
    </row>
    <row r="392" spans="2:15" ht="13" x14ac:dyDescent="0.25">
      <c r="B392" s="1057">
        <v>2015</v>
      </c>
      <c r="C392" s="1058"/>
      <c r="D392" s="1058"/>
      <c r="E392" s="1059"/>
      <c r="F392" s="896"/>
      <c r="G392" s="839">
        <f>G140</f>
        <v>0</v>
      </c>
      <c r="H392" s="897">
        <v>0</v>
      </c>
      <c r="I392" s="839">
        <f>+G392+H392</f>
        <v>0</v>
      </c>
      <c r="J392" s="839">
        <f>-I392*0.6</f>
        <v>0</v>
      </c>
      <c r="K392" s="908">
        <f>+J392+G392</f>
        <v>0</v>
      </c>
      <c r="L392" s="610"/>
      <c r="M392" s="20"/>
    </row>
    <row r="393" spans="2:15" x14ac:dyDescent="0.25">
      <c r="L393" s="610"/>
      <c r="M393" s="20"/>
    </row>
    <row r="394" spans="2:15" ht="13" x14ac:dyDescent="0.3">
      <c r="B394" s="18" t="s">
        <v>362</v>
      </c>
      <c r="F394" s="895">
        <v>2018</v>
      </c>
      <c r="M394" s="610"/>
    </row>
    <row r="395" spans="2:15" x14ac:dyDescent="0.25">
      <c r="M395" s="610"/>
    </row>
    <row r="396" spans="2:15" ht="69.75" customHeight="1" x14ac:dyDescent="0.25">
      <c r="B396" s="1060" t="s">
        <v>363</v>
      </c>
      <c r="C396" s="1061"/>
      <c r="D396" s="1061"/>
      <c r="E396" s="1062"/>
      <c r="F396" s="599"/>
      <c r="G396" s="675" t="str">
        <f>"Nog af te bouwen regulatoir saldo einde "&amp;F394-1</f>
        <v>Nog af te bouwen regulatoir saldo einde 2017</v>
      </c>
      <c r="H396" s="675" t="str">
        <f>"Afbouw oudste openstaande regulatoir saldo vanaf boekjaar "&amp;F394-3&amp;" en vroeger, door aanwending van compensatie met regulatoir saldo ontstaan over boekjaar "&amp;F394-2</f>
        <v>Afbouw oudste openstaande regulatoir saldo vanaf boekjaar 2015 en vroeger, door aanwending van compensatie met regulatoir saldo ontstaan over boekjaar 2016</v>
      </c>
      <c r="I396" s="675" t="str">
        <f>"Nog af te bouwen regulatoir saldo na compensatie einde "&amp;F394-1</f>
        <v>Nog af te bouwen regulatoir saldo na compensatie einde 2017</v>
      </c>
      <c r="J396" s="675" t="str">
        <f>"60% van het geaccumuleerd regulatoir saldo door te rekenen volgens de tariefmethodologie in het boekjaar "&amp;F394</f>
        <v>60% van het geaccumuleerd regulatoir saldo door te rekenen volgens de tariefmethodologie in het boekjaar 2018</v>
      </c>
      <c r="K396" s="675" t="str">
        <f>"Aanwending van 60% van het geaccumuleerd regulatoir saldo door te rekenen volgens de tariefmethodologie in het boekjaar "&amp;F394</f>
        <v>Aanwending van 60% van het geaccumuleerd regulatoir saldo door te rekenen volgens de tariefmethodologie in het boekjaar 2018</v>
      </c>
      <c r="L396" s="675" t="str">
        <f>"Totale afbouw over "&amp;F394</f>
        <v>Totale afbouw over 2018</v>
      </c>
      <c r="M396" s="20"/>
      <c r="N396" s="675" t="str">
        <f>"Nog af te bouwen regulatoir saldo einde "&amp;F394</f>
        <v>Nog af te bouwen regulatoir saldo einde 2018</v>
      </c>
      <c r="O396" s="610"/>
    </row>
    <row r="397" spans="2:15" ht="13" x14ac:dyDescent="0.25">
      <c r="B397" s="1057">
        <v>2015</v>
      </c>
      <c r="C397" s="1058"/>
      <c r="D397" s="1058"/>
      <c r="E397" s="1059"/>
      <c r="F397" s="896"/>
      <c r="G397" s="839">
        <f>K392</f>
        <v>0</v>
      </c>
      <c r="H397" s="897">
        <f>IF(SIGN(G398*K392)&lt;0,IF(G397&lt;&gt;0,-SIGN(G397)*MIN(ABS(G398),ABS(G397)),0),0)</f>
        <v>0</v>
      </c>
      <c r="I397" s="839">
        <f>+G397+H397</f>
        <v>0</v>
      </c>
      <c r="J397" s="698"/>
      <c r="K397" s="897">
        <f>-MIN(ABS(I397),ABS(J399))*SIGN(I397)</f>
        <v>0</v>
      </c>
      <c r="L397" s="898">
        <f>+K397+H397</f>
        <v>0</v>
      </c>
      <c r="M397" s="20"/>
      <c r="N397" s="839">
        <f>+I397+K397</f>
        <v>0</v>
      </c>
      <c r="O397" s="610"/>
    </row>
    <row r="398" spans="2:15" ht="13" x14ac:dyDescent="0.25">
      <c r="B398" s="1057">
        <v>2016</v>
      </c>
      <c r="C398" s="1058"/>
      <c r="D398" s="1058"/>
      <c r="E398" s="1059"/>
      <c r="F398" s="896"/>
      <c r="G398" s="839">
        <f>H141</f>
        <v>0</v>
      </c>
      <c r="H398" s="898">
        <f>IF(SIGN(G398*K392)&lt;0,-H397,0)</f>
        <v>0</v>
      </c>
      <c r="I398" s="839">
        <f>+G398+H398</f>
        <v>0</v>
      </c>
      <c r="J398" s="698"/>
      <c r="K398" s="897">
        <f>-MIN(ABS(I398),ABS(J399-K397))*SIGN(I398)</f>
        <v>0</v>
      </c>
      <c r="L398" s="898">
        <f>+K398+H398</f>
        <v>0</v>
      </c>
      <c r="M398" s="20"/>
      <c r="N398" s="839">
        <f>+I398+K398</f>
        <v>0</v>
      </c>
      <c r="O398" s="610"/>
    </row>
    <row r="399" spans="2:15" s="18" customFormat="1" ht="13" x14ac:dyDescent="0.3">
      <c r="G399" s="899">
        <f>SUM(G397:G398)</f>
        <v>0</v>
      </c>
      <c r="H399" s="899">
        <f>SUM(H397:H398)</f>
        <v>0</v>
      </c>
      <c r="I399" s="899">
        <f>SUM(I397:I398)</f>
        <v>0</v>
      </c>
      <c r="J399" s="899">
        <f>-I399*0.6</f>
        <v>0</v>
      </c>
      <c r="K399" s="900">
        <f>SUM(K397:K398)</f>
        <v>0</v>
      </c>
      <c r="L399" s="901"/>
      <c r="N399" s="899">
        <f>SUM(N397:N398)</f>
        <v>0</v>
      </c>
    </row>
    <row r="400" spans="2:15" x14ac:dyDescent="0.25">
      <c r="M400" s="610"/>
    </row>
    <row r="401" spans="2:15" ht="13" x14ac:dyDescent="0.3">
      <c r="B401" s="18" t="s">
        <v>362</v>
      </c>
      <c r="F401" s="895">
        <v>2019</v>
      </c>
      <c r="M401" s="20"/>
    </row>
    <row r="402" spans="2:15" x14ac:dyDescent="0.25">
      <c r="M402" s="20"/>
    </row>
    <row r="403" spans="2:15" ht="75.75" customHeight="1" x14ac:dyDescent="0.25">
      <c r="B403" s="1060" t="s">
        <v>363</v>
      </c>
      <c r="C403" s="1061"/>
      <c r="D403" s="1061"/>
      <c r="E403" s="1062"/>
      <c r="F403" s="599"/>
      <c r="G403" s="675" t="str">
        <f>"Nog af te bouwen regulatoir saldo einde "&amp;F401-1</f>
        <v>Nog af te bouwen regulatoir saldo einde 2018</v>
      </c>
      <c r="H403" s="675" t="str">
        <f>"Afbouw oudste openstaande regulatoir saldo vanaf boekjaar "&amp;F401-3&amp;" en vroeger, door aanwending van compensatie met regulatoir saldo ontstaan over boekjaar "&amp;F401-2</f>
        <v>Afbouw oudste openstaande regulatoir saldo vanaf boekjaar 2016 en vroeger, door aanwending van compensatie met regulatoir saldo ontstaan over boekjaar 2017</v>
      </c>
      <c r="I403" s="675" t="str">
        <f>"Nog af te bouwen regulatoir saldo na compensatie einde "&amp;F401-1</f>
        <v>Nog af te bouwen regulatoir saldo na compensatie einde 2018</v>
      </c>
      <c r="J403" s="675" t="str">
        <f>"60% van het geaccumuleerd regulatoir saldo door te rekenen volgens de tariefmethodologie in het boekjaar "&amp;F401</f>
        <v>60% van het geaccumuleerd regulatoir saldo door te rekenen volgens de tariefmethodologie in het boekjaar 2019</v>
      </c>
      <c r="K403" s="675" t="str">
        <f>"Aanwending van het 60% van het geaccumuleerd regulatoir saldo door te rekenen volgens de tariefmethodologie in het boekjaar "&amp;F401</f>
        <v>Aanwending van het 60% van het geaccumuleerd regulatoir saldo door te rekenen volgens de tariefmethodologie in het boekjaar 2019</v>
      </c>
      <c r="L403" s="675" t="str">
        <f>"Totale afbouw over "&amp;F401</f>
        <v>Totale afbouw over 2019</v>
      </c>
      <c r="M403" s="20"/>
      <c r="N403" s="675" t="str">
        <f>"Nog af te bouwen regulatoir saldo einde "&amp;F401</f>
        <v>Nog af te bouwen regulatoir saldo einde 2019</v>
      </c>
      <c r="O403" s="610"/>
    </row>
    <row r="404" spans="2:15" ht="13" x14ac:dyDescent="0.25">
      <c r="B404" s="1057">
        <v>2015</v>
      </c>
      <c r="C404" s="1058"/>
      <c r="D404" s="1058"/>
      <c r="E404" s="1059"/>
      <c r="F404" s="896"/>
      <c r="G404" s="839">
        <f>+N397</f>
        <v>0</v>
      </c>
      <c r="H404" s="898">
        <f>IF(SIGN(G406*N399)&lt;0,IF(G404&lt;&gt;0,-SIGN(G404)*MIN(ABS(G406),ABS(G404)),0),0)</f>
        <v>0</v>
      </c>
      <c r="I404" s="839">
        <f>+G404+H404</f>
        <v>0</v>
      </c>
      <c r="J404" s="698"/>
      <c r="K404" s="897">
        <f>-MIN(ABS(I404),ABS(J407))*SIGN(I404)</f>
        <v>0</v>
      </c>
      <c r="L404" s="898">
        <f>+K404+H404</f>
        <v>0</v>
      </c>
      <c r="M404" s="20"/>
      <c r="N404" s="839">
        <f>+I404+K404</f>
        <v>0</v>
      </c>
      <c r="O404" s="610"/>
    </row>
    <row r="405" spans="2:15" ht="13" x14ac:dyDescent="0.25">
      <c r="B405" s="1057">
        <v>2016</v>
      </c>
      <c r="C405" s="1058"/>
      <c r="D405" s="1058">
        <v>2016</v>
      </c>
      <c r="E405" s="1059"/>
      <c r="F405" s="896"/>
      <c r="G405" s="839">
        <f>+N398</f>
        <v>0</v>
      </c>
      <c r="H405" s="898">
        <f>IF(SIGN(G406*N399)&lt;0,IF(G405&lt;&gt;0,-SIGN(G405)*MIN(ABS(G406-H404),ABS(G405)),0),0)</f>
        <v>0</v>
      </c>
      <c r="I405" s="839">
        <f>+G405+H405</f>
        <v>0</v>
      </c>
      <c r="J405" s="698"/>
      <c r="K405" s="897">
        <f>-MIN(ABS(I405),ABS(J407-K404))*SIGN(I405)</f>
        <v>0</v>
      </c>
      <c r="L405" s="898">
        <f>+K405+H405</f>
        <v>0</v>
      </c>
      <c r="M405" s="20"/>
      <c r="N405" s="839">
        <f>+I405+K405</f>
        <v>0</v>
      </c>
      <c r="O405" s="610"/>
    </row>
    <row r="406" spans="2:15" ht="13" x14ac:dyDescent="0.25">
      <c r="B406" s="1057">
        <v>2017</v>
      </c>
      <c r="C406" s="1058"/>
      <c r="D406" s="1058"/>
      <c r="E406" s="1059"/>
      <c r="F406" s="896"/>
      <c r="G406" s="839">
        <f>I142</f>
        <v>0</v>
      </c>
      <c r="H406" s="898">
        <f>IF(SIGN(G406*N399)&lt;0,-SUM(H404:H405),0)</f>
        <v>0</v>
      </c>
      <c r="I406" s="839">
        <f>+G406+H406</f>
        <v>0</v>
      </c>
      <c r="J406" s="698"/>
      <c r="K406" s="897">
        <f>-MIN(ABS(I406),ABS(J407-K404-K405))*SIGN(I406)</f>
        <v>0</v>
      </c>
      <c r="L406" s="898">
        <f>+K406+H406</f>
        <v>0</v>
      </c>
      <c r="M406" s="20"/>
      <c r="N406" s="839">
        <f>+I406+K406</f>
        <v>0</v>
      </c>
      <c r="O406" s="610"/>
    </row>
    <row r="407" spans="2:15" s="18" customFormat="1" ht="13" x14ac:dyDescent="0.3">
      <c r="G407" s="899">
        <f>SUM(G404:G406)</f>
        <v>0</v>
      </c>
      <c r="H407" s="899">
        <f>SUM(H404:H406)</f>
        <v>0</v>
      </c>
      <c r="I407" s="899">
        <f>SUM(I404:I406)</f>
        <v>0</v>
      </c>
      <c r="J407" s="899">
        <f>-I407*0.6</f>
        <v>0</v>
      </c>
      <c r="K407" s="900">
        <f>SUM(K404:K406)</f>
        <v>0</v>
      </c>
      <c r="L407" s="901"/>
      <c r="N407" s="899">
        <f>SUM(N404:N406)</f>
        <v>0</v>
      </c>
    </row>
    <row r="408" spans="2:15" x14ac:dyDescent="0.25">
      <c r="M408" s="610"/>
    </row>
    <row r="409" spans="2:15" ht="13" x14ac:dyDescent="0.3">
      <c r="B409" s="18" t="s">
        <v>362</v>
      </c>
      <c r="F409" s="895">
        <v>2020</v>
      </c>
      <c r="M409" s="20"/>
    </row>
    <row r="410" spans="2:15" x14ac:dyDescent="0.25">
      <c r="M410" s="20"/>
    </row>
    <row r="411" spans="2:15" ht="78" customHeight="1" x14ac:dyDescent="0.25">
      <c r="B411" s="1060" t="s">
        <v>363</v>
      </c>
      <c r="C411" s="1061"/>
      <c r="D411" s="1061"/>
      <c r="E411" s="1062"/>
      <c r="F411" s="599"/>
      <c r="G411" s="675" t="str">
        <f>"Nog af te bouwen regulatoir saldo einde "&amp;F409-1</f>
        <v>Nog af te bouwen regulatoir saldo einde 2019</v>
      </c>
      <c r="H411" s="675" t="str">
        <f>"Afbouw oudste openstaande regulatoir saldo vanaf boekjaar "&amp;F409-3&amp;" en vroeger, door aanwending van compensatie met regulatoir saldo ontstaan over boekjaar "&amp;F409-2</f>
        <v>Afbouw oudste openstaande regulatoir saldo vanaf boekjaar 2017 en vroeger, door aanwending van compensatie met regulatoir saldo ontstaan over boekjaar 2018</v>
      </c>
      <c r="I411" s="675" t="str">
        <f>"Nog af te bouwen regulatoir saldo na compensatie einde "&amp;F409-1</f>
        <v>Nog af te bouwen regulatoir saldo na compensatie einde 2019</v>
      </c>
      <c r="J411" s="675" t="str">
        <f>"60% van het geaccumuleerd regulatoir saldo door te rekenen volgens de tariefmethodologie in het boekjaar "&amp;F409</f>
        <v>60% van het geaccumuleerd regulatoir saldo door te rekenen volgens de tariefmethodologie in het boekjaar 2020</v>
      </c>
      <c r="K411" s="675" t="str">
        <f>"Aanwending van het 60% van het geaccumuleerd regulatoir saldo door te rekenen volgens de tariefmethodologie in het boekjaar "&amp;F409</f>
        <v>Aanwending van het 60% van het geaccumuleerd regulatoir saldo door te rekenen volgens de tariefmethodologie in het boekjaar 2020</v>
      </c>
      <c r="L411" s="675" t="str">
        <f>"Totale afbouw over "&amp;F409</f>
        <v>Totale afbouw over 2020</v>
      </c>
      <c r="M411" s="20"/>
      <c r="N411" s="675" t="str">
        <f>"Nog af te bouwen regulatoir saldo einde "&amp;F409</f>
        <v>Nog af te bouwen regulatoir saldo einde 2020</v>
      </c>
      <c r="O411" s="610"/>
    </row>
    <row r="412" spans="2:15" ht="13" x14ac:dyDescent="0.25">
      <c r="B412" s="1057">
        <v>2015</v>
      </c>
      <c r="C412" s="1058"/>
      <c r="D412" s="1058"/>
      <c r="E412" s="1059"/>
      <c r="F412" s="896"/>
      <c r="G412" s="839">
        <f>+N404</f>
        <v>0</v>
      </c>
      <c r="H412" s="898">
        <f>IF(SIGN(G415*N407)&lt;0,IF(G412&lt;&gt;0,-SIGN(G412)*MIN(ABS(G415),ABS(G412)),0),0)</f>
        <v>0</v>
      </c>
      <c r="I412" s="839">
        <f>+G412+H412</f>
        <v>0</v>
      </c>
      <c r="J412" s="698"/>
      <c r="K412" s="897">
        <f>-MIN(ABS(I412),ABS(J416))*SIGN(I412)</f>
        <v>0</v>
      </c>
      <c r="L412" s="898">
        <f>+K412+H412</f>
        <v>0</v>
      </c>
      <c r="M412" s="20"/>
      <c r="N412" s="839">
        <f>+I412+K412</f>
        <v>0</v>
      </c>
      <c r="O412" s="610"/>
    </row>
    <row r="413" spans="2:15" ht="13" x14ac:dyDescent="0.25">
      <c r="B413" s="1057">
        <v>2016</v>
      </c>
      <c r="C413" s="1058"/>
      <c r="D413" s="1058"/>
      <c r="E413" s="1059"/>
      <c r="F413" s="896"/>
      <c r="G413" s="839">
        <f>+N405</f>
        <v>0</v>
      </c>
      <c r="H413" s="898">
        <f>IF(SIGN(G415*N407)&lt;0,IF(G413&lt;&gt;0,-SIGN(G413)*MIN(ABS(G415-H412),ABS(G413)),0),0)</f>
        <v>0</v>
      </c>
      <c r="I413" s="839">
        <f>+G413+H413</f>
        <v>0</v>
      </c>
      <c r="J413" s="698"/>
      <c r="K413" s="897">
        <f>-MIN(ABS(I413),ABS(J416-K412))*SIGN(I413)</f>
        <v>0</v>
      </c>
      <c r="L413" s="898">
        <f>+K413+H413</f>
        <v>0</v>
      </c>
      <c r="M413" s="20"/>
      <c r="N413" s="839">
        <f>+I413+K413</f>
        <v>0</v>
      </c>
      <c r="O413" s="610"/>
    </row>
    <row r="414" spans="2:15" ht="13" x14ac:dyDescent="0.25">
      <c r="B414" s="1057">
        <v>2017</v>
      </c>
      <c r="C414" s="1058"/>
      <c r="D414" s="1058">
        <v>2016</v>
      </c>
      <c r="E414" s="1059"/>
      <c r="F414" s="896"/>
      <c r="G414" s="839">
        <f>+N406</f>
        <v>0</v>
      </c>
      <c r="H414" s="898">
        <f>IF(SIGN(G415*N407)&lt;0,IF(G414&lt;&gt;0,-SIGN(G414)*MIN(ABS(G415-H412-H413),ABS(G414)),0),0)</f>
        <v>0</v>
      </c>
      <c r="I414" s="839">
        <f>+G414+H414</f>
        <v>0</v>
      </c>
      <c r="J414" s="698"/>
      <c r="K414" s="897">
        <f>-MIN(ABS(I414),ABS(J416-K412-K413))*SIGN(I414)</f>
        <v>0</v>
      </c>
      <c r="L414" s="898">
        <f>+K414+H414</f>
        <v>0</v>
      </c>
      <c r="M414" s="20"/>
      <c r="N414" s="839">
        <f>+I414+K414</f>
        <v>0</v>
      </c>
      <c r="O414" s="610"/>
    </row>
    <row r="415" spans="2:15" ht="13" x14ac:dyDescent="0.25">
      <c r="B415" s="1057">
        <v>2018</v>
      </c>
      <c r="C415" s="1058"/>
      <c r="D415" s="1058"/>
      <c r="E415" s="1059"/>
      <c r="F415" s="896"/>
      <c r="G415" s="839">
        <f>J143</f>
        <v>0</v>
      </c>
      <c r="H415" s="898">
        <f>IF(SIGN(G415*N407)&lt;0,-SUM(H412:H414),0)</f>
        <v>0</v>
      </c>
      <c r="I415" s="839">
        <f>+G415+H415</f>
        <v>0</v>
      </c>
      <c r="J415" s="698"/>
      <c r="K415" s="897">
        <f>-MIN(ABS(I415),ABS(J416-K412-K413-K414))*SIGN(I415)</f>
        <v>0</v>
      </c>
      <c r="L415" s="898">
        <f>+K415+H415</f>
        <v>0</v>
      </c>
      <c r="M415" s="20"/>
      <c r="N415" s="839">
        <f>+I415+K415</f>
        <v>0</v>
      </c>
      <c r="O415" s="610"/>
    </row>
    <row r="416" spans="2:15" s="18" customFormat="1" ht="13" x14ac:dyDescent="0.3">
      <c r="G416" s="899">
        <f>SUM(G412:G415)</f>
        <v>0</v>
      </c>
      <c r="H416" s="899">
        <f>SUM(H412:H415)</f>
        <v>0</v>
      </c>
      <c r="I416" s="899">
        <f>SUM(I412:I415)</f>
        <v>0</v>
      </c>
      <c r="J416" s="899">
        <f>-I416*0.6</f>
        <v>0</v>
      </c>
      <c r="K416" s="900">
        <f>SUM(K412:K415)</f>
        <v>0</v>
      </c>
      <c r="L416" s="900"/>
      <c r="N416" s="899">
        <f>SUM(N412:N415)</f>
        <v>0</v>
      </c>
    </row>
    <row r="419" spans="2:14" ht="13" x14ac:dyDescent="0.3">
      <c r="B419" s="18" t="s">
        <v>364</v>
      </c>
      <c r="C419" s="381"/>
      <c r="D419" s="381"/>
      <c r="E419" s="381"/>
    </row>
    <row r="420" spans="2:14" ht="13" x14ac:dyDescent="0.3">
      <c r="B420" s="18"/>
      <c r="C420" s="381"/>
      <c r="D420" s="381"/>
      <c r="E420" s="381"/>
    </row>
    <row r="421" spans="2:14" ht="13" x14ac:dyDescent="0.3">
      <c r="B421" s="864">
        <f>F389</f>
        <v>2017</v>
      </c>
      <c r="C421" s="906">
        <f>J392</f>
        <v>0</v>
      </c>
      <c r="D421" s="381"/>
      <c r="E421" s="381"/>
    </row>
    <row r="422" spans="2:14" ht="13" x14ac:dyDescent="0.3">
      <c r="B422" s="864">
        <f>F394</f>
        <v>2018</v>
      </c>
      <c r="C422" s="906">
        <f>K399</f>
        <v>0</v>
      </c>
      <c r="D422" s="381"/>
      <c r="E422" s="381"/>
    </row>
    <row r="423" spans="2:14" ht="13" x14ac:dyDescent="0.3">
      <c r="B423" s="864">
        <f>F401</f>
        <v>2019</v>
      </c>
      <c r="C423" s="906">
        <f>K407</f>
        <v>0</v>
      </c>
      <c r="D423" s="381"/>
      <c r="E423" s="381"/>
    </row>
    <row r="424" spans="2:14" ht="13" x14ac:dyDescent="0.3">
      <c r="B424" s="864">
        <f>F409</f>
        <v>2020</v>
      </c>
      <c r="C424" s="906">
        <f>K416</f>
        <v>0</v>
      </c>
      <c r="D424" s="381"/>
      <c r="E424" s="381"/>
    </row>
    <row r="425" spans="2:14" x14ac:dyDescent="0.25">
      <c r="M425" s="610"/>
    </row>
    <row r="426" spans="2:14" x14ac:dyDescent="0.25">
      <c r="M426" s="610"/>
    </row>
    <row r="427" spans="2:14" ht="13" x14ac:dyDescent="0.3">
      <c r="B427" s="902" t="s">
        <v>287</v>
      </c>
      <c r="C427" s="903"/>
      <c r="D427" s="903"/>
      <c r="E427" s="903"/>
      <c r="F427" s="904"/>
      <c r="G427" s="904"/>
      <c r="H427" s="904"/>
      <c r="I427" s="904"/>
      <c r="J427" s="904"/>
      <c r="K427" s="904"/>
      <c r="L427" s="904"/>
      <c r="M427" s="905"/>
      <c r="N427" s="904"/>
    </row>
    <row r="428" spans="2:14" x14ac:dyDescent="0.25">
      <c r="M428" s="610"/>
    </row>
    <row r="429" spans="2:14" ht="13" x14ac:dyDescent="0.3">
      <c r="B429" s="18" t="s">
        <v>362</v>
      </c>
      <c r="F429" s="895">
        <v>2017</v>
      </c>
      <c r="M429" s="610"/>
    </row>
    <row r="430" spans="2:14" x14ac:dyDescent="0.25">
      <c r="L430" s="610"/>
      <c r="M430" s="20"/>
    </row>
    <row r="431" spans="2:14" ht="82.5" customHeight="1" x14ac:dyDescent="0.25">
      <c r="B431" s="1060" t="s">
        <v>363</v>
      </c>
      <c r="C431" s="1061"/>
      <c r="D431" s="1061"/>
      <c r="E431" s="1062"/>
      <c r="F431" s="599"/>
      <c r="G431" s="675" t="str">
        <f>"Nog af te bouwen regulatoir saldo einde "&amp;F429-1</f>
        <v>Nog af te bouwen regulatoir saldo einde 2016</v>
      </c>
      <c r="H431" s="675" t="str">
        <f>"Afbouw oudste openstaande regulatoir saldo vanaf boekjaar "&amp;F429-3&amp;" en vroeger, door aanwending van compensatie met regulatoir saldo ontstaan over boekjaar "&amp;F429-2</f>
        <v>Afbouw oudste openstaande regulatoir saldo vanaf boekjaar 2014 en vroeger, door aanwending van compensatie met regulatoir saldo ontstaan over boekjaar 2015</v>
      </c>
      <c r="I431" s="675" t="str">
        <f>"Nog af te bouwen regulatoir saldo na compensatie einde "&amp;F429-1</f>
        <v>Nog af te bouwen regulatoir saldo na compensatie einde 2016</v>
      </c>
      <c r="J431" s="675" t="str">
        <f>"Aanwending van 60% van het geaccumuleerd regulatoir saldo door te rekenen volgens de tariefmethodologie in het boekjaar "&amp;F429</f>
        <v>Aanwending van 60% van het geaccumuleerd regulatoir saldo door te rekenen volgens de tariefmethodologie in het boekjaar 2017</v>
      </c>
      <c r="K431" s="675" t="str">
        <f>"Nog af te bouwen regulatoir saldo einde "&amp;F429</f>
        <v>Nog af te bouwen regulatoir saldo einde 2017</v>
      </c>
      <c r="L431" s="610"/>
      <c r="M431" s="20"/>
    </row>
    <row r="432" spans="2:14" ht="13" x14ac:dyDescent="0.25">
      <c r="B432" s="1057">
        <v>2015</v>
      </c>
      <c r="C432" s="1058"/>
      <c r="D432" s="1058"/>
      <c r="E432" s="1059"/>
      <c r="F432" s="896"/>
      <c r="G432" s="839">
        <f>G147</f>
        <v>0</v>
      </c>
      <c r="H432" s="897">
        <v>0</v>
      </c>
      <c r="I432" s="839">
        <f>+G432+H432</f>
        <v>0</v>
      </c>
      <c r="J432" s="839">
        <f>-I432*0.6</f>
        <v>0</v>
      </c>
      <c r="K432" s="908">
        <f>+J432+G432</f>
        <v>0</v>
      </c>
      <c r="L432" s="610"/>
      <c r="M432" s="20"/>
    </row>
    <row r="433" spans="2:15" x14ac:dyDescent="0.25">
      <c r="L433" s="610"/>
      <c r="M433" s="20"/>
    </row>
    <row r="434" spans="2:15" ht="13" x14ac:dyDescent="0.3">
      <c r="B434" s="18" t="s">
        <v>362</v>
      </c>
      <c r="F434" s="895">
        <v>2018</v>
      </c>
      <c r="M434" s="610"/>
    </row>
    <row r="435" spans="2:15" x14ac:dyDescent="0.25">
      <c r="M435" s="610"/>
    </row>
    <row r="436" spans="2:15" ht="69.75" customHeight="1" x14ac:dyDescent="0.25">
      <c r="B436" s="1060" t="s">
        <v>363</v>
      </c>
      <c r="C436" s="1061"/>
      <c r="D436" s="1061"/>
      <c r="E436" s="1062"/>
      <c r="F436" s="599"/>
      <c r="G436" s="675" t="str">
        <f>"Nog af te bouwen regulatoir saldo einde "&amp;F434-1</f>
        <v>Nog af te bouwen regulatoir saldo einde 2017</v>
      </c>
      <c r="H436" s="675" t="str">
        <f>"Afbouw oudste openstaande regulatoir saldo vanaf boekjaar "&amp;F434-3&amp;" en vroeger, door aanwending van compensatie met regulatoir saldo ontstaan over boekjaar "&amp;F434-2</f>
        <v>Afbouw oudste openstaande regulatoir saldo vanaf boekjaar 2015 en vroeger, door aanwending van compensatie met regulatoir saldo ontstaan over boekjaar 2016</v>
      </c>
      <c r="I436" s="675" t="str">
        <f>"Nog af te bouwen regulatoir saldo na compensatie einde "&amp;F434-1</f>
        <v>Nog af te bouwen regulatoir saldo na compensatie einde 2017</v>
      </c>
      <c r="J436" s="675" t="str">
        <f>"60% van het geaccumuleerd regulatoir saldo door te rekenen volgens de tariefmethodologie in het boekjaar "&amp;F434</f>
        <v>60% van het geaccumuleerd regulatoir saldo door te rekenen volgens de tariefmethodologie in het boekjaar 2018</v>
      </c>
      <c r="K436" s="675" t="str">
        <f>"Aanwending van 60% van het geaccumuleerd regulatoir saldo door te rekenen volgens de tariefmethodologie in het boekjaar "&amp;F434</f>
        <v>Aanwending van 60% van het geaccumuleerd regulatoir saldo door te rekenen volgens de tariefmethodologie in het boekjaar 2018</v>
      </c>
      <c r="L436" s="675" t="str">
        <f>"Totale afbouw over "&amp;F434</f>
        <v>Totale afbouw over 2018</v>
      </c>
      <c r="M436" s="20"/>
      <c r="N436" s="675" t="str">
        <f>"Nog af te bouwen regulatoir saldo einde "&amp;F434</f>
        <v>Nog af te bouwen regulatoir saldo einde 2018</v>
      </c>
      <c r="O436" s="610"/>
    </row>
    <row r="437" spans="2:15" ht="13" x14ac:dyDescent="0.25">
      <c r="B437" s="1057">
        <v>2015</v>
      </c>
      <c r="C437" s="1058"/>
      <c r="D437" s="1058"/>
      <c r="E437" s="1059"/>
      <c r="F437" s="896"/>
      <c r="G437" s="839">
        <f>K432</f>
        <v>0</v>
      </c>
      <c r="H437" s="897">
        <f>IF(SIGN(G438*K432)&lt;0,IF(G437&lt;&gt;0,-SIGN(G437)*MIN(ABS(G438),ABS(G437)),0),0)</f>
        <v>0</v>
      </c>
      <c r="I437" s="839">
        <f>+G437+H437</f>
        <v>0</v>
      </c>
      <c r="J437" s="698"/>
      <c r="K437" s="897">
        <f>-MIN(ABS(I437),ABS(J439))*SIGN(I437)</f>
        <v>0</v>
      </c>
      <c r="L437" s="898">
        <f>+K437+H437</f>
        <v>0</v>
      </c>
      <c r="M437" s="20"/>
      <c r="N437" s="839">
        <f>+I437+K437</f>
        <v>0</v>
      </c>
      <c r="O437" s="610"/>
    </row>
    <row r="438" spans="2:15" ht="13" x14ac:dyDescent="0.25">
      <c r="B438" s="1057">
        <v>2016</v>
      </c>
      <c r="C438" s="1058"/>
      <c r="D438" s="1058"/>
      <c r="E438" s="1059"/>
      <c r="F438" s="896"/>
      <c r="G438" s="839">
        <f>H148</f>
        <v>0</v>
      </c>
      <c r="H438" s="898">
        <f>IF(SIGN(G438*K432)&lt;0,-H437,0)</f>
        <v>0</v>
      </c>
      <c r="I438" s="839">
        <f>+G438+H438</f>
        <v>0</v>
      </c>
      <c r="J438" s="698"/>
      <c r="K438" s="897">
        <f>-MIN(ABS(I438),ABS(J439-K437))*SIGN(I438)</f>
        <v>0</v>
      </c>
      <c r="L438" s="898">
        <f>+K438+H438</f>
        <v>0</v>
      </c>
      <c r="M438" s="20"/>
      <c r="N438" s="839">
        <f>+I438+K438</f>
        <v>0</v>
      </c>
      <c r="O438" s="610"/>
    </row>
    <row r="439" spans="2:15" s="18" customFormat="1" ht="13" x14ac:dyDescent="0.3">
      <c r="G439" s="899">
        <f>SUM(G437:G438)</f>
        <v>0</v>
      </c>
      <c r="H439" s="899">
        <f>SUM(H437:H438)</f>
        <v>0</v>
      </c>
      <c r="I439" s="899">
        <f>SUM(I437:I438)</f>
        <v>0</v>
      </c>
      <c r="J439" s="899">
        <f>-I439*0.6</f>
        <v>0</v>
      </c>
      <c r="K439" s="900">
        <f>SUM(K437:K438)</f>
        <v>0</v>
      </c>
      <c r="L439" s="901"/>
      <c r="N439" s="899">
        <f>SUM(N437:N438)</f>
        <v>0</v>
      </c>
    </row>
    <row r="440" spans="2:15" x14ac:dyDescent="0.25">
      <c r="M440" s="610"/>
    </row>
    <row r="441" spans="2:15" ht="13" x14ac:dyDescent="0.3">
      <c r="B441" s="18" t="s">
        <v>362</v>
      </c>
      <c r="F441" s="895">
        <v>2019</v>
      </c>
      <c r="M441" s="20"/>
    </row>
    <row r="442" spans="2:15" x14ac:dyDescent="0.25">
      <c r="M442" s="20"/>
    </row>
    <row r="443" spans="2:15" ht="75.75" customHeight="1" x14ac:dyDescent="0.25">
      <c r="B443" s="1060" t="s">
        <v>363</v>
      </c>
      <c r="C443" s="1061"/>
      <c r="D443" s="1061"/>
      <c r="E443" s="1062"/>
      <c r="F443" s="599"/>
      <c r="G443" s="675" t="str">
        <f>"Nog af te bouwen regulatoir saldo einde "&amp;F441-1</f>
        <v>Nog af te bouwen regulatoir saldo einde 2018</v>
      </c>
      <c r="H443" s="675" t="str">
        <f>"Afbouw oudste openstaande regulatoir saldo vanaf boekjaar "&amp;F441-3&amp;" en vroeger, door aanwending van compensatie met regulatoir saldo ontstaan over boekjaar "&amp;F441-2</f>
        <v>Afbouw oudste openstaande regulatoir saldo vanaf boekjaar 2016 en vroeger, door aanwending van compensatie met regulatoir saldo ontstaan over boekjaar 2017</v>
      </c>
      <c r="I443" s="675" t="str">
        <f>"Nog af te bouwen regulatoir saldo na compensatie einde "&amp;F441-1</f>
        <v>Nog af te bouwen regulatoir saldo na compensatie einde 2018</v>
      </c>
      <c r="J443" s="675" t="str">
        <f>"60% van het geaccumuleerd regulatoir saldo door te rekenen volgens de tariefmethodologie in het boekjaar "&amp;F441</f>
        <v>60% van het geaccumuleerd regulatoir saldo door te rekenen volgens de tariefmethodologie in het boekjaar 2019</v>
      </c>
      <c r="K443" s="675" t="str">
        <f>"Aanwending van het 60% van het geaccumuleerd regulatoir saldo door te rekenen volgens de tariefmethodologie in het boekjaar "&amp;F441</f>
        <v>Aanwending van het 60% van het geaccumuleerd regulatoir saldo door te rekenen volgens de tariefmethodologie in het boekjaar 2019</v>
      </c>
      <c r="L443" s="675" t="str">
        <f>"Totale afbouw over "&amp;F441</f>
        <v>Totale afbouw over 2019</v>
      </c>
      <c r="M443" s="20"/>
      <c r="N443" s="675" t="str">
        <f>"Nog af te bouwen regulatoir saldo einde "&amp;F441</f>
        <v>Nog af te bouwen regulatoir saldo einde 2019</v>
      </c>
      <c r="O443" s="610"/>
    </row>
    <row r="444" spans="2:15" ht="13" x14ac:dyDescent="0.25">
      <c r="B444" s="1057">
        <v>2015</v>
      </c>
      <c r="C444" s="1058"/>
      <c r="D444" s="1058"/>
      <c r="E444" s="1059"/>
      <c r="F444" s="896"/>
      <c r="G444" s="839">
        <f>+N437</f>
        <v>0</v>
      </c>
      <c r="H444" s="898">
        <f>IF(SIGN(G446*N439)&lt;0,IF(G444&lt;&gt;0,-SIGN(G444)*MIN(ABS(G446),ABS(G444)),0),0)</f>
        <v>0</v>
      </c>
      <c r="I444" s="839">
        <f>+G444+H444</f>
        <v>0</v>
      </c>
      <c r="J444" s="698"/>
      <c r="K444" s="897">
        <f>-MIN(ABS(I444),ABS(J447))*SIGN(I444)</f>
        <v>0</v>
      </c>
      <c r="L444" s="898">
        <f>+K444+H444</f>
        <v>0</v>
      </c>
      <c r="M444" s="20"/>
      <c r="N444" s="839">
        <f>+I444+K444</f>
        <v>0</v>
      </c>
      <c r="O444" s="610"/>
    </row>
    <row r="445" spans="2:15" ht="13" x14ac:dyDescent="0.25">
      <c r="B445" s="1057">
        <v>2016</v>
      </c>
      <c r="C445" s="1058"/>
      <c r="D445" s="1058">
        <v>2016</v>
      </c>
      <c r="E445" s="1059"/>
      <c r="F445" s="896"/>
      <c r="G445" s="839">
        <f>+N438</f>
        <v>0</v>
      </c>
      <c r="H445" s="898">
        <f>IF(SIGN(G446*N439)&lt;0,IF(G445&lt;&gt;0,-SIGN(G445)*MIN(ABS(G446-H444),ABS(G445)),0),0)</f>
        <v>0</v>
      </c>
      <c r="I445" s="839">
        <f>+G445+H445</f>
        <v>0</v>
      </c>
      <c r="J445" s="698"/>
      <c r="K445" s="897">
        <f>-MIN(ABS(I445),ABS(J447-K444))*SIGN(I445)</f>
        <v>0</v>
      </c>
      <c r="L445" s="898">
        <f>+K445+H445</f>
        <v>0</v>
      </c>
      <c r="M445" s="20"/>
      <c r="N445" s="839">
        <f>+I445+K445</f>
        <v>0</v>
      </c>
      <c r="O445" s="610"/>
    </row>
    <row r="446" spans="2:15" ht="13" x14ac:dyDescent="0.25">
      <c r="B446" s="1057">
        <v>2017</v>
      </c>
      <c r="C446" s="1058"/>
      <c r="D446" s="1058"/>
      <c r="E446" s="1059"/>
      <c r="F446" s="896"/>
      <c r="G446" s="839">
        <f>I149</f>
        <v>0</v>
      </c>
      <c r="H446" s="898">
        <f>IF(SIGN(G446*N439)&lt;0,-SUM(H444:H445),0)</f>
        <v>0</v>
      </c>
      <c r="I446" s="839">
        <f>+G446+H446</f>
        <v>0</v>
      </c>
      <c r="J446" s="698"/>
      <c r="K446" s="897">
        <f>-MIN(ABS(I446),ABS(J447-K444-K445))*SIGN(I446)</f>
        <v>0</v>
      </c>
      <c r="L446" s="898">
        <f>+K446+H446</f>
        <v>0</v>
      </c>
      <c r="M446" s="20"/>
      <c r="N446" s="839">
        <f>+I446+K446</f>
        <v>0</v>
      </c>
      <c r="O446" s="610"/>
    </row>
    <row r="447" spans="2:15" s="18" customFormat="1" ht="13" x14ac:dyDescent="0.3">
      <c r="G447" s="899">
        <f>SUM(G444:G446)</f>
        <v>0</v>
      </c>
      <c r="H447" s="899">
        <f>SUM(H444:H446)</f>
        <v>0</v>
      </c>
      <c r="I447" s="899">
        <f>SUM(I444:I446)</f>
        <v>0</v>
      </c>
      <c r="J447" s="899">
        <f>-I447*0.6</f>
        <v>0</v>
      </c>
      <c r="K447" s="900">
        <f>SUM(K444:K446)</f>
        <v>0</v>
      </c>
      <c r="L447" s="901"/>
      <c r="N447" s="899">
        <f>SUM(N444:N446)</f>
        <v>0</v>
      </c>
    </row>
    <row r="448" spans="2:15" x14ac:dyDescent="0.25">
      <c r="M448" s="610"/>
    </row>
    <row r="449" spans="2:15" ht="13" x14ac:dyDescent="0.3">
      <c r="B449" s="18" t="s">
        <v>362</v>
      </c>
      <c r="F449" s="895">
        <v>2020</v>
      </c>
      <c r="M449" s="20"/>
    </row>
    <row r="450" spans="2:15" x14ac:dyDescent="0.25">
      <c r="M450" s="20"/>
    </row>
    <row r="451" spans="2:15" ht="78" customHeight="1" x14ac:dyDescent="0.25">
      <c r="B451" s="1060" t="s">
        <v>363</v>
      </c>
      <c r="C451" s="1061"/>
      <c r="D451" s="1061"/>
      <c r="E451" s="1062"/>
      <c r="F451" s="599"/>
      <c r="G451" s="675" t="str">
        <f>"Nog af te bouwen regulatoir saldo einde "&amp;F449-1</f>
        <v>Nog af te bouwen regulatoir saldo einde 2019</v>
      </c>
      <c r="H451" s="675" t="str">
        <f>"Afbouw oudste openstaande regulatoir saldo vanaf boekjaar "&amp;F449-3&amp;" en vroeger, door aanwending van compensatie met regulatoir saldo ontstaan over boekjaar "&amp;F449-2</f>
        <v>Afbouw oudste openstaande regulatoir saldo vanaf boekjaar 2017 en vroeger, door aanwending van compensatie met regulatoir saldo ontstaan over boekjaar 2018</v>
      </c>
      <c r="I451" s="675" t="str">
        <f>"Nog af te bouwen regulatoir saldo na compensatie einde "&amp;F449-1</f>
        <v>Nog af te bouwen regulatoir saldo na compensatie einde 2019</v>
      </c>
      <c r="J451" s="675" t="str">
        <f>"60% van het geaccumuleerd regulatoir saldo door te rekenen volgens de tariefmethodologie in het boekjaar "&amp;F449</f>
        <v>60% van het geaccumuleerd regulatoir saldo door te rekenen volgens de tariefmethodologie in het boekjaar 2020</v>
      </c>
      <c r="K451" s="675" t="str">
        <f>"Aanwending van het 60% van het geaccumuleerd regulatoir saldo door te rekenen volgens de tariefmethodologie in het boekjaar "&amp;F449</f>
        <v>Aanwending van het 60% van het geaccumuleerd regulatoir saldo door te rekenen volgens de tariefmethodologie in het boekjaar 2020</v>
      </c>
      <c r="L451" s="675" t="str">
        <f>"Totale afbouw over "&amp;F449</f>
        <v>Totale afbouw over 2020</v>
      </c>
      <c r="M451" s="20"/>
      <c r="N451" s="675" t="str">
        <f>"Nog af te bouwen regulatoir saldo einde "&amp;F449</f>
        <v>Nog af te bouwen regulatoir saldo einde 2020</v>
      </c>
      <c r="O451" s="610"/>
    </row>
    <row r="452" spans="2:15" ht="13" x14ac:dyDescent="0.25">
      <c r="B452" s="1057">
        <v>2015</v>
      </c>
      <c r="C452" s="1058"/>
      <c r="D452" s="1058"/>
      <c r="E452" s="1059"/>
      <c r="F452" s="896"/>
      <c r="G452" s="839">
        <f>+N444</f>
        <v>0</v>
      </c>
      <c r="H452" s="898">
        <f>IF(SIGN(G455*N447)&lt;0,IF(G452&lt;&gt;0,-SIGN(G452)*MIN(ABS(G455),ABS(G452)),0),0)</f>
        <v>0</v>
      </c>
      <c r="I452" s="839">
        <f>+G452+H452</f>
        <v>0</v>
      </c>
      <c r="J452" s="698"/>
      <c r="K452" s="897">
        <f>-MIN(ABS(I452),ABS(J456))*SIGN(I452)</f>
        <v>0</v>
      </c>
      <c r="L452" s="898">
        <f>+K452+H452</f>
        <v>0</v>
      </c>
      <c r="M452" s="20"/>
      <c r="N452" s="839">
        <f>+I452+K452</f>
        <v>0</v>
      </c>
      <c r="O452" s="610"/>
    </row>
    <row r="453" spans="2:15" ht="13" x14ac:dyDescent="0.25">
      <c r="B453" s="1057">
        <v>2016</v>
      </c>
      <c r="C453" s="1058"/>
      <c r="D453" s="1058"/>
      <c r="E453" s="1059"/>
      <c r="F453" s="896"/>
      <c r="G453" s="839">
        <f>+N445</f>
        <v>0</v>
      </c>
      <c r="H453" s="898">
        <f>IF(SIGN(G455*N447)&lt;0,IF(G453&lt;&gt;0,-SIGN(G453)*MIN(ABS(G455-H452),ABS(G453)),0),0)</f>
        <v>0</v>
      </c>
      <c r="I453" s="839">
        <f>+G453+H453</f>
        <v>0</v>
      </c>
      <c r="J453" s="698"/>
      <c r="K453" s="897">
        <f>-MIN(ABS(I453),ABS(J456-K452))*SIGN(I453)</f>
        <v>0</v>
      </c>
      <c r="L453" s="898">
        <f>+K453+H453</f>
        <v>0</v>
      </c>
      <c r="M453" s="20"/>
      <c r="N453" s="839">
        <f>+I453+K453</f>
        <v>0</v>
      </c>
      <c r="O453" s="610"/>
    </row>
    <row r="454" spans="2:15" ht="13" x14ac:dyDescent="0.25">
      <c r="B454" s="1057">
        <v>2017</v>
      </c>
      <c r="C454" s="1058"/>
      <c r="D454" s="1058">
        <v>2016</v>
      </c>
      <c r="E454" s="1059"/>
      <c r="F454" s="896"/>
      <c r="G454" s="839">
        <f>+N446</f>
        <v>0</v>
      </c>
      <c r="H454" s="898">
        <f>IF(SIGN(G455*N447)&lt;0,IF(G454&lt;&gt;0,-SIGN(G454)*MIN(ABS(G455-H452-H453),ABS(G454)),0),0)</f>
        <v>0</v>
      </c>
      <c r="I454" s="839">
        <f>+G454+H454</f>
        <v>0</v>
      </c>
      <c r="J454" s="698"/>
      <c r="K454" s="897">
        <f>-MIN(ABS(I454),ABS(J456-K452-K453))*SIGN(I454)</f>
        <v>0</v>
      </c>
      <c r="L454" s="898">
        <f>+K454+H454</f>
        <v>0</v>
      </c>
      <c r="M454" s="20"/>
      <c r="N454" s="839">
        <f>+I454+K454</f>
        <v>0</v>
      </c>
      <c r="O454" s="610"/>
    </row>
    <row r="455" spans="2:15" ht="13" x14ac:dyDescent="0.25">
      <c r="B455" s="1057">
        <v>2018</v>
      </c>
      <c r="C455" s="1058"/>
      <c r="D455" s="1058"/>
      <c r="E455" s="1059"/>
      <c r="F455" s="896"/>
      <c r="G455" s="839">
        <f>J149</f>
        <v>0</v>
      </c>
      <c r="H455" s="898">
        <f>IF(SIGN(G455*N447)&lt;0,-SUM(H452:H454),0)</f>
        <v>0</v>
      </c>
      <c r="I455" s="839">
        <f>+G455+H455</f>
        <v>0</v>
      </c>
      <c r="J455" s="698"/>
      <c r="K455" s="897">
        <f>-MIN(ABS(I455),ABS(J456-K452-K453-K454))*SIGN(I455)</f>
        <v>0</v>
      </c>
      <c r="L455" s="898">
        <f>+K455+H455</f>
        <v>0</v>
      </c>
      <c r="M455" s="20"/>
      <c r="N455" s="839">
        <f>+I455+K455</f>
        <v>0</v>
      </c>
      <c r="O455" s="610"/>
    </row>
    <row r="456" spans="2:15" s="18" customFormat="1" ht="13" x14ac:dyDescent="0.3">
      <c r="G456" s="899">
        <f>SUM(G452:G455)</f>
        <v>0</v>
      </c>
      <c r="H456" s="899">
        <f>SUM(H452:H455)</f>
        <v>0</v>
      </c>
      <c r="I456" s="899">
        <f>SUM(I452:I455)</f>
        <v>0</v>
      </c>
      <c r="J456" s="899">
        <f>-I456*0.6</f>
        <v>0</v>
      </c>
      <c r="K456" s="900">
        <f>SUM(K452:K455)</f>
        <v>0</v>
      </c>
      <c r="L456" s="900"/>
      <c r="N456" s="899">
        <f>SUM(N452:N455)</f>
        <v>0</v>
      </c>
    </row>
    <row r="459" spans="2:15" ht="13" x14ac:dyDescent="0.3">
      <c r="B459" s="18" t="s">
        <v>364</v>
      </c>
      <c r="C459" s="381"/>
      <c r="D459" s="381"/>
      <c r="E459" s="381"/>
    </row>
    <row r="460" spans="2:15" ht="13" x14ac:dyDescent="0.3">
      <c r="B460" s="18"/>
      <c r="C460" s="381"/>
      <c r="D460" s="381"/>
      <c r="E460" s="381"/>
    </row>
    <row r="461" spans="2:15" ht="13" x14ac:dyDescent="0.3">
      <c r="B461" s="864">
        <f>F429</f>
        <v>2017</v>
      </c>
      <c r="C461" s="906">
        <f>J432</f>
        <v>0</v>
      </c>
      <c r="D461" s="381"/>
      <c r="E461" s="381"/>
    </row>
    <row r="462" spans="2:15" ht="13" x14ac:dyDescent="0.3">
      <c r="B462" s="864">
        <f>F434</f>
        <v>2018</v>
      </c>
      <c r="C462" s="906">
        <f>K439</f>
        <v>0</v>
      </c>
      <c r="D462" s="381"/>
      <c r="E462" s="381"/>
    </row>
    <row r="463" spans="2:15" ht="13" x14ac:dyDescent="0.3">
      <c r="B463" s="864">
        <f>F441</f>
        <v>2019</v>
      </c>
      <c r="C463" s="906">
        <f>K447</f>
        <v>0</v>
      </c>
      <c r="D463" s="381"/>
      <c r="E463" s="381"/>
    </row>
    <row r="464" spans="2:15" ht="13" x14ac:dyDescent="0.3">
      <c r="B464" s="864">
        <f>F449</f>
        <v>2020</v>
      </c>
      <c r="C464" s="906">
        <f>K456</f>
        <v>0</v>
      </c>
      <c r="D464" s="381"/>
      <c r="E464" s="381"/>
    </row>
    <row r="465" spans="2:15" x14ac:dyDescent="0.25">
      <c r="M465" s="610"/>
    </row>
    <row r="466" spans="2:15" x14ac:dyDescent="0.25">
      <c r="M466" s="610"/>
    </row>
    <row r="467" spans="2:15" ht="12.75" customHeight="1" x14ac:dyDescent="0.3">
      <c r="B467" s="902" t="s">
        <v>134</v>
      </c>
      <c r="C467" s="903"/>
      <c r="D467" s="903"/>
      <c r="E467" s="903"/>
      <c r="F467" s="904"/>
      <c r="G467" s="904"/>
      <c r="H467" s="904"/>
      <c r="I467" s="904"/>
      <c r="J467" s="904"/>
      <c r="K467" s="904"/>
      <c r="L467" s="904"/>
      <c r="M467" s="905"/>
      <c r="N467" s="904"/>
    </row>
    <row r="468" spans="2:15" x14ac:dyDescent="0.25">
      <c r="M468" s="610"/>
    </row>
    <row r="469" spans="2:15" ht="13" x14ac:dyDescent="0.3">
      <c r="B469" s="18" t="s">
        <v>362</v>
      </c>
      <c r="F469" s="895">
        <v>2017</v>
      </c>
      <c r="M469" s="610"/>
    </row>
    <row r="470" spans="2:15" x14ac:dyDescent="0.25">
      <c r="L470" s="610"/>
      <c r="M470" s="20"/>
    </row>
    <row r="471" spans="2:15" ht="82.5" customHeight="1" x14ac:dyDescent="0.25">
      <c r="B471" s="1060" t="s">
        <v>363</v>
      </c>
      <c r="C471" s="1061"/>
      <c r="D471" s="1061"/>
      <c r="E471" s="1062"/>
      <c r="F471" s="599"/>
      <c r="G471" s="675" t="str">
        <f>"Nog af te bouwen regulatoir saldo einde "&amp;F469-1</f>
        <v>Nog af te bouwen regulatoir saldo einde 2016</v>
      </c>
      <c r="H471" s="675" t="str">
        <f>"Afbouw oudste openstaande regulatoir saldo vanaf boekjaar "&amp;F469-3&amp;" en vroeger, door aanwending van compensatie met regulatoir saldo ontstaan over boekjaar "&amp;F469-2</f>
        <v>Afbouw oudste openstaande regulatoir saldo vanaf boekjaar 2014 en vroeger, door aanwending van compensatie met regulatoir saldo ontstaan over boekjaar 2015</v>
      </c>
      <c r="I471" s="675" t="str">
        <f>"Nog af te bouwen regulatoir saldo na compensatie einde "&amp;F469-1</f>
        <v>Nog af te bouwen regulatoir saldo na compensatie einde 2016</v>
      </c>
      <c r="J471" s="675" t="str">
        <f>"Aanwending van 60% van het geaccumuleerd regulatoir saldo door te rekenen volgens de tariefmethodologie in het boekjaar "&amp;F469</f>
        <v>Aanwending van 60% van het geaccumuleerd regulatoir saldo door te rekenen volgens de tariefmethodologie in het boekjaar 2017</v>
      </c>
      <c r="K471" s="675" t="str">
        <f>"Nog af te bouwen regulatoir saldo einde "&amp;F469</f>
        <v>Nog af te bouwen regulatoir saldo einde 2017</v>
      </c>
      <c r="L471" s="610"/>
      <c r="M471" s="20"/>
    </row>
    <row r="472" spans="2:15" ht="13" x14ac:dyDescent="0.25">
      <c r="B472" s="1057">
        <v>2015</v>
      </c>
      <c r="C472" s="1058"/>
      <c r="D472" s="1058"/>
      <c r="E472" s="1059"/>
      <c r="F472" s="896"/>
      <c r="G472" s="839">
        <f>G154</f>
        <v>0</v>
      </c>
      <c r="H472" s="897">
        <v>0</v>
      </c>
      <c r="I472" s="839">
        <f>+G472+H472</f>
        <v>0</v>
      </c>
      <c r="J472" s="839">
        <f>-I472*0.6</f>
        <v>0</v>
      </c>
      <c r="K472" s="908">
        <f>+J472+G472</f>
        <v>0</v>
      </c>
      <c r="L472" s="610"/>
      <c r="M472" s="20"/>
    </row>
    <row r="473" spans="2:15" x14ac:dyDescent="0.25">
      <c r="L473" s="610"/>
      <c r="M473" s="20"/>
    </row>
    <row r="474" spans="2:15" ht="13" x14ac:dyDescent="0.3">
      <c r="B474" s="18" t="s">
        <v>362</v>
      </c>
      <c r="F474" s="895">
        <v>2018</v>
      </c>
      <c r="M474" s="610"/>
    </row>
    <row r="475" spans="2:15" x14ac:dyDescent="0.25">
      <c r="M475" s="610"/>
    </row>
    <row r="476" spans="2:15" ht="69.75" customHeight="1" x14ac:dyDescent="0.25">
      <c r="B476" s="1060" t="s">
        <v>363</v>
      </c>
      <c r="C476" s="1061"/>
      <c r="D476" s="1061"/>
      <c r="E476" s="1062"/>
      <c r="F476" s="599"/>
      <c r="G476" s="675" t="str">
        <f>"Nog af te bouwen regulatoir saldo einde "&amp;F474-1</f>
        <v>Nog af te bouwen regulatoir saldo einde 2017</v>
      </c>
      <c r="H476" s="675" t="str">
        <f>"Afbouw oudste openstaande regulatoir saldo vanaf boekjaar "&amp;F474-3&amp;" en vroeger, door aanwending van compensatie met regulatoir saldo ontstaan over boekjaar "&amp;F474-2</f>
        <v>Afbouw oudste openstaande regulatoir saldo vanaf boekjaar 2015 en vroeger, door aanwending van compensatie met regulatoir saldo ontstaan over boekjaar 2016</v>
      </c>
      <c r="I476" s="675" t="str">
        <f>"Nog af te bouwen regulatoir saldo na compensatie einde "&amp;F474-1</f>
        <v>Nog af te bouwen regulatoir saldo na compensatie einde 2017</v>
      </c>
      <c r="J476" s="675" t="str">
        <f>"60% van het geaccumuleerd regulatoir saldo door te rekenen volgens de tariefmethodologie in het boekjaar "&amp;F474</f>
        <v>60% van het geaccumuleerd regulatoir saldo door te rekenen volgens de tariefmethodologie in het boekjaar 2018</v>
      </c>
      <c r="K476" s="675" t="str">
        <f>"Aanwending van 60% van het geaccumuleerd regulatoir saldo door te rekenen volgens de tariefmethodologie in het boekjaar "&amp;F474</f>
        <v>Aanwending van 60% van het geaccumuleerd regulatoir saldo door te rekenen volgens de tariefmethodologie in het boekjaar 2018</v>
      </c>
      <c r="L476" s="675" t="str">
        <f>"Totale afbouw over "&amp;F474</f>
        <v>Totale afbouw over 2018</v>
      </c>
      <c r="M476" s="20"/>
      <c r="N476" s="675" t="str">
        <f>"Nog af te bouwen regulatoir saldo einde "&amp;F474</f>
        <v>Nog af te bouwen regulatoir saldo einde 2018</v>
      </c>
      <c r="O476" s="610"/>
    </row>
    <row r="477" spans="2:15" ht="13" x14ac:dyDescent="0.25">
      <c r="B477" s="1057">
        <v>2015</v>
      </c>
      <c r="C477" s="1058"/>
      <c r="D477" s="1058"/>
      <c r="E477" s="1059"/>
      <c r="F477" s="896"/>
      <c r="G477" s="839">
        <f>K472</f>
        <v>0</v>
      </c>
      <c r="H477" s="897">
        <f>IF(SIGN(G478*K472)&lt;0,IF(G477&lt;&gt;0,-SIGN(G477)*MIN(ABS(G478),ABS(G477)),0),0)</f>
        <v>0</v>
      </c>
      <c r="I477" s="839">
        <f>+G477+H477</f>
        <v>0</v>
      </c>
      <c r="J477" s="698"/>
      <c r="K477" s="897">
        <f>-MIN(ABS(I477),ABS(J479))*SIGN(I477)</f>
        <v>0</v>
      </c>
      <c r="L477" s="898">
        <f>+K477+H477</f>
        <v>0</v>
      </c>
      <c r="M477" s="20"/>
      <c r="N477" s="839">
        <f>+I477+K477</f>
        <v>0</v>
      </c>
      <c r="O477" s="610"/>
    </row>
    <row r="478" spans="2:15" ht="13" x14ac:dyDescent="0.25">
      <c r="B478" s="1057">
        <v>2016</v>
      </c>
      <c r="C478" s="1058"/>
      <c r="D478" s="1058"/>
      <c r="E478" s="1059"/>
      <c r="F478" s="896"/>
      <c r="G478" s="839">
        <f>H155</f>
        <v>0</v>
      </c>
      <c r="H478" s="898">
        <f>IF(SIGN(G478*K472)&lt;0,-H477,0)</f>
        <v>0</v>
      </c>
      <c r="I478" s="839">
        <f>+G478+H478</f>
        <v>0</v>
      </c>
      <c r="J478" s="698"/>
      <c r="K478" s="897">
        <f>-MIN(ABS(I478),ABS(J479-K477))*SIGN(I478)</f>
        <v>0</v>
      </c>
      <c r="L478" s="898">
        <f>+K478+H478</f>
        <v>0</v>
      </c>
      <c r="M478" s="20"/>
      <c r="N478" s="839">
        <f>+I478+K478</f>
        <v>0</v>
      </c>
      <c r="O478" s="610"/>
    </row>
    <row r="479" spans="2:15" s="18" customFormat="1" ht="13" x14ac:dyDescent="0.3">
      <c r="G479" s="899">
        <f>SUM(G477:G478)</f>
        <v>0</v>
      </c>
      <c r="H479" s="899">
        <f>SUM(H477:H478)</f>
        <v>0</v>
      </c>
      <c r="I479" s="899">
        <f>SUM(I477:I478)</f>
        <v>0</v>
      </c>
      <c r="J479" s="899">
        <f>-I479*0.6</f>
        <v>0</v>
      </c>
      <c r="K479" s="900">
        <f>SUM(K477:K478)</f>
        <v>0</v>
      </c>
      <c r="L479" s="901"/>
      <c r="N479" s="899">
        <f>SUM(N477:N478)</f>
        <v>0</v>
      </c>
    </row>
    <row r="480" spans="2:15" x14ac:dyDescent="0.25">
      <c r="M480" s="610"/>
    </row>
    <row r="481" spans="2:15" ht="13" x14ac:dyDescent="0.3">
      <c r="B481" s="18" t="s">
        <v>362</v>
      </c>
      <c r="F481" s="895">
        <v>2019</v>
      </c>
      <c r="M481" s="20"/>
    </row>
    <row r="482" spans="2:15" x14ac:dyDescent="0.25">
      <c r="M482" s="20"/>
    </row>
    <row r="483" spans="2:15" ht="75.75" customHeight="1" x14ac:dyDescent="0.25">
      <c r="B483" s="1060" t="s">
        <v>363</v>
      </c>
      <c r="C483" s="1061"/>
      <c r="D483" s="1061"/>
      <c r="E483" s="1062"/>
      <c r="F483" s="599"/>
      <c r="G483" s="675" t="str">
        <f>"Nog af te bouwen regulatoir saldo einde "&amp;F481-1</f>
        <v>Nog af te bouwen regulatoir saldo einde 2018</v>
      </c>
      <c r="H483" s="675" t="str">
        <f>"Afbouw oudste openstaande regulatoir saldo vanaf boekjaar "&amp;F481-3&amp;" en vroeger, door aanwending van compensatie met regulatoir saldo ontstaan over boekjaar "&amp;F481-2</f>
        <v>Afbouw oudste openstaande regulatoir saldo vanaf boekjaar 2016 en vroeger, door aanwending van compensatie met regulatoir saldo ontstaan over boekjaar 2017</v>
      </c>
      <c r="I483" s="675" t="str">
        <f>"Nog af te bouwen regulatoir saldo na compensatie einde "&amp;F481-1</f>
        <v>Nog af te bouwen regulatoir saldo na compensatie einde 2018</v>
      </c>
      <c r="J483" s="675" t="str">
        <f>"60% van het geaccumuleerd regulatoir saldo door te rekenen volgens de tariefmethodologie in het boekjaar "&amp;F481</f>
        <v>60% van het geaccumuleerd regulatoir saldo door te rekenen volgens de tariefmethodologie in het boekjaar 2019</v>
      </c>
      <c r="K483" s="675" t="str">
        <f>"Aanwending van het 60% van het geaccumuleerd regulatoir saldo door te rekenen volgens de tariefmethodologie in het boekjaar "&amp;F481</f>
        <v>Aanwending van het 60% van het geaccumuleerd regulatoir saldo door te rekenen volgens de tariefmethodologie in het boekjaar 2019</v>
      </c>
      <c r="L483" s="675" t="str">
        <f>"Totale afbouw over "&amp;F481</f>
        <v>Totale afbouw over 2019</v>
      </c>
      <c r="M483" s="20"/>
      <c r="N483" s="675" t="str">
        <f>"Nog af te bouwen regulatoir saldo einde "&amp;F481</f>
        <v>Nog af te bouwen regulatoir saldo einde 2019</v>
      </c>
      <c r="O483" s="610"/>
    </row>
    <row r="484" spans="2:15" ht="13" x14ac:dyDescent="0.25">
      <c r="B484" s="1057">
        <v>2015</v>
      </c>
      <c r="C484" s="1058"/>
      <c r="D484" s="1058"/>
      <c r="E484" s="1059"/>
      <c r="F484" s="896"/>
      <c r="G484" s="839">
        <f>+N477</f>
        <v>0</v>
      </c>
      <c r="H484" s="898">
        <f>IF(SIGN(G486*N479)&lt;0,IF(G484&lt;&gt;0,-SIGN(G484)*MIN(ABS(G486),ABS(G484)),0),0)</f>
        <v>0</v>
      </c>
      <c r="I484" s="839">
        <f>+G484+H484</f>
        <v>0</v>
      </c>
      <c r="J484" s="698"/>
      <c r="K484" s="897">
        <f>-MIN(ABS(I484),ABS(J487))*SIGN(I484)</f>
        <v>0</v>
      </c>
      <c r="L484" s="898">
        <f>+K484+H484</f>
        <v>0</v>
      </c>
      <c r="M484" s="20"/>
      <c r="N484" s="839">
        <f>+I484+K484</f>
        <v>0</v>
      </c>
      <c r="O484" s="610"/>
    </row>
    <row r="485" spans="2:15" ht="13" x14ac:dyDescent="0.25">
      <c r="B485" s="1057">
        <v>2016</v>
      </c>
      <c r="C485" s="1058"/>
      <c r="D485" s="1058">
        <v>2016</v>
      </c>
      <c r="E485" s="1059"/>
      <c r="F485" s="896"/>
      <c r="G485" s="839">
        <f>+N478</f>
        <v>0</v>
      </c>
      <c r="H485" s="898">
        <f>IF(SIGN(G486*N479)&lt;0,IF(G485&lt;&gt;0,-SIGN(G485)*MIN(ABS(G486-H484),ABS(G485)),0),0)</f>
        <v>0</v>
      </c>
      <c r="I485" s="839">
        <f>+G485+H485</f>
        <v>0</v>
      </c>
      <c r="J485" s="698"/>
      <c r="K485" s="897">
        <f>-MIN(ABS(I485),ABS(J487-K484))*SIGN(I485)</f>
        <v>0</v>
      </c>
      <c r="L485" s="898">
        <f>+K485+H485</f>
        <v>0</v>
      </c>
      <c r="M485" s="20"/>
      <c r="N485" s="839">
        <f>+I485+K485</f>
        <v>0</v>
      </c>
      <c r="O485" s="610"/>
    </row>
    <row r="486" spans="2:15" ht="13" x14ac:dyDescent="0.25">
      <c r="B486" s="1057">
        <v>2017</v>
      </c>
      <c r="C486" s="1058"/>
      <c r="D486" s="1058"/>
      <c r="E486" s="1059"/>
      <c r="F486" s="896"/>
      <c r="G486" s="839">
        <f>I156</f>
        <v>0</v>
      </c>
      <c r="H486" s="898">
        <f>IF(SIGN(G486*N479)&lt;0,-SUM(H484:H485),0)</f>
        <v>0</v>
      </c>
      <c r="I486" s="839">
        <f>+G486+H486</f>
        <v>0</v>
      </c>
      <c r="J486" s="698"/>
      <c r="K486" s="897">
        <f>-MIN(ABS(I486),ABS(J487-K484-K485))*SIGN(I486)</f>
        <v>0</v>
      </c>
      <c r="L486" s="898">
        <f>+K486+H486</f>
        <v>0</v>
      </c>
      <c r="M486" s="20"/>
      <c r="N486" s="839">
        <f>+I486+K486</f>
        <v>0</v>
      </c>
      <c r="O486" s="610"/>
    </row>
    <row r="487" spans="2:15" s="18" customFormat="1" ht="13" x14ac:dyDescent="0.3">
      <c r="G487" s="899">
        <f>SUM(G484:G486)</f>
        <v>0</v>
      </c>
      <c r="H487" s="899">
        <f>SUM(H484:H486)</f>
        <v>0</v>
      </c>
      <c r="I487" s="899">
        <f>SUM(I484:I486)</f>
        <v>0</v>
      </c>
      <c r="J487" s="899">
        <f>-I487*0.6</f>
        <v>0</v>
      </c>
      <c r="K487" s="900">
        <f>SUM(K484:K486)</f>
        <v>0</v>
      </c>
      <c r="L487" s="901"/>
      <c r="N487" s="899">
        <f>SUM(N484:N486)</f>
        <v>0</v>
      </c>
    </row>
    <row r="488" spans="2:15" x14ac:dyDescent="0.25">
      <c r="M488" s="610"/>
    </row>
    <row r="489" spans="2:15" ht="13" x14ac:dyDescent="0.3">
      <c r="B489" s="18" t="s">
        <v>362</v>
      </c>
      <c r="F489" s="895">
        <v>2020</v>
      </c>
      <c r="M489" s="20"/>
    </row>
    <row r="490" spans="2:15" x14ac:dyDescent="0.25">
      <c r="M490" s="20"/>
    </row>
    <row r="491" spans="2:15" ht="78" customHeight="1" x14ac:dyDescent="0.25">
      <c r="B491" s="1060" t="s">
        <v>363</v>
      </c>
      <c r="C491" s="1061"/>
      <c r="D491" s="1061"/>
      <c r="E491" s="1062"/>
      <c r="F491" s="599"/>
      <c r="G491" s="675" t="str">
        <f>"Nog af te bouwen regulatoir saldo einde "&amp;F489-1</f>
        <v>Nog af te bouwen regulatoir saldo einde 2019</v>
      </c>
      <c r="H491" s="675" t="str">
        <f>"Afbouw oudste openstaande regulatoir saldo vanaf boekjaar "&amp;F489-3&amp;" en vroeger, door aanwending van compensatie met regulatoir saldo ontstaan over boekjaar "&amp;F489-2</f>
        <v>Afbouw oudste openstaande regulatoir saldo vanaf boekjaar 2017 en vroeger, door aanwending van compensatie met regulatoir saldo ontstaan over boekjaar 2018</v>
      </c>
      <c r="I491" s="675" t="str">
        <f>"Nog af te bouwen regulatoir saldo na compensatie einde "&amp;F489-1</f>
        <v>Nog af te bouwen regulatoir saldo na compensatie einde 2019</v>
      </c>
      <c r="J491" s="675" t="str">
        <f>"60% van het geaccumuleerd regulatoir saldo door te rekenen volgens de tariefmethodologie in het boekjaar "&amp;F489</f>
        <v>60% van het geaccumuleerd regulatoir saldo door te rekenen volgens de tariefmethodologie in het boekjaar 2020</v>
      </c>
      <c r="K491" s="675" t="str">
        <f>"Aanwending van het 60% van het geaccumuleerd regulatoir saldo door te rekenen volgens de tariefmethodologie in het boekjaar "&amp;F489</f>
        <v>Aanwending van het 60% van het geaccumuleerd regulatoir saldo door te rekenen volgens de tariefmethodologie in het boekjaar 2020</v>
      </c>
      <c r="L491" s="675" t="str">
        <f>"Totale afbouw over "&amp;F489</f>
        <v>Totale afbouw over 2020</v>
      </c>
      <c r="M491" s="20"/>
      <c r="N491" s="675" t="str">
        <f>"Nog af te bouwen regulatoir saldo einde "&amp;F489</f>
        <v>Nog af te bouwen regulatoir saldo einde 2020</v>
      </c>
      <c r="O491" s="610"/>
    </row>
    <row r="492" spans="2:15" ht="13" x14ac:dyDescent="0.25">
      <c r="B492" s="1057">
        <v>2015</v>
      </c>
      <c r="C492" s="1058"/>
      <c r="D492" s="1058"/>
      <c r="E492" s="1059"/>
      <c r="F492" s="896"/>
      <c r="G492" s="839">
        <f>+N484</f>
        <v>0</v>
      </c>
      <c r="H492" s="898">
        <f>IF(SIGN(G495*N487)&lt;0,IF(G492&lt;&gt;0,-SIGN(G492)*MIN(ABS(G495),ABS(G492)),0),0)</f>
        <v>0</v>
      </c>
      <c r="I492" s="839">
        <f>+G492+H492</f>
        <v>0</v>
      </c>
      <c r="J492" s="698"/>
      <c r="K492" s="897">
        <f>-MIN(ABS(I492),ABS(J496))*SIGN(I492)</f>
        <v>0</v>
      </c>
      <c r="L492" s="898">
        <f>+K492+H492</f>
        <v>0</v>
      </c>
      <c r="M492" s="20"/>
      <c r="N492" s="839">
        <f>+I492+K492</f>
        <v>0</v>
      </c>
      <c r="O492" s="610"/>
    </row>
    <row r="493" spans="2:15" ht="13" x14ac:dyDescent="0.25">
      <c r="B493" s="1057">
        <v>2016</v>
      </c>
      <c r="C493" s="1058"/>
      <c r="D493" s="1058"/>
      <c r="E493" s="1059"/>
      <c r="F493" s="896"/>
      <c r="G493" s="839">
        <f>+N485</f>
        <v>0</v>
      </c>
      <c r="H493" s="898">
        <f>IF(SIGN(G495*N487)&lt;0,IF(G493&lt;&gt;0,-SIGN(G493)*MIN(ABS(G495-H492),ABS(G493)),0),0)</f>
        <v>0</v>
      </c>
      <c r="I493" s="839">
        <f>+G493+H493</f>
        <v>0</v>
      </c>
      <c r="J493" s="698"/>
      <c r="K493" s="897">
        <f>-MIN(ABS(I493),ABS(J496-K492))*SIGN(I493)</f>
        <v>0</v>
      </c>
      <c r="L493" s="898">
        <f>+K493+H493</f>
        <v>0</v>
      </c>
      <c r="M493" s="20"/>
      <c r="N493" s="839">
        <f>+I493+K493</f>
        <v>0</v>
      </c>
      <c r="O493" s="610"/>
    </row>
    <row r="494" spans="2:15" ht="13" x14ac:dyDescent="0.25">
      <c r="B494" s="1057">
        <v>2017</v>
      </c>
      <c r="C494" s="1058"/>
      <c r="D494" s="1058">
        <v>2016</v>
      </c>
      <c r="E494" s="1059"/>
      <c r="F494" s="896"/>
      <c r="G494" s="839">
        <f>+N486</f>
        <v>0</v>
      </c>
      <c r="H494" s="898">
        <f>IF(SIGN(G495*N487)&lt;0,IF(G494&lt;&gt;0,-SIGN(G494)*MIN(ABS(G495-H492-H493),ABS(G494)),0),0)</f>
        <v>0</v>
      </c>
      <c r="I494" s="839">
        <f>+G494+H494</f>
        <v>0</v>
      </c>
      <c r="J494" s="698"/>
      <c r="K494" s="897">
        <f>-MIN(ABS(I494),ABS(J496-K492-K493))*SIGN(I494)</f>
        <v>0</v>
      </c>
      <c r="L494" s="898">
        <f>+K494+H494</f>
        <v>0</v>
      </c>
      <c r="M494" s="20"/>
      <c r="N494" s="839">
        <f>+I494+K494</f>
        <v>0</v>
      </c>
      <c r="O494" s="610"/>
    </row>
    <row r="495" spans="2:15" ht="13" x14ac:dyDescent="0.25">
      <c r="B495" s="1057">
        <v>2018</v>
      </c>
      <c r="C495" s="1058"/>
      <c r="D495" s="1058"/>
      <c r="E495" s="1059"/>
      <c r="F495" s="896"/>
      <c r="G495" s="839">
        <f>J157</f>
        <v>0</v>
      </c>
      <c r="H495" s="898">
        <f>IF(SIGN(G495*N487)&lt;0,-SUM(H492:H494),0)</f>
        <v>0</v>
      </c>
      <c r="I495" s="839">
        <f>+G495+H495</f>
        <v>0</v>
      </c>
      <c r="J495" s="698"/>
      <c r="K495" s="897">
        <f>-MIN(ABS(I495),ABS(J496-K492-K493-K494))*SIGN(I495)</f>
        <v>0</v>
      </c>
      <c r="L495" s="898">
        <f>+K495+H495</f>
        <v>0</v>
      </c>
      <c r="M495" s="20"/>
      <c r="N495" s="839">
        <f>+I495+K495</f>
        <v>0</v>
      </c>
      <c r="O495" s="610"/>
    </row>
    <row r="496" spans="2:15" s="18" customFormat="1" ht="13" x14ac:dyDescent="0.3">
      <c r="G496" s="899">
        <f>SUM(G492:G495)</f>
        <v>0</v>
      </c>
      <c r="H496" s="899">
        <f>SUM(H492:H495)</f>
        <v>0</v>
      </c>
      <c r="I496" s="899">
        <f>SUM(I492:I495)</f>
        <v>0</v>
      </c>
      <c r="J496" s="899">
        <f>-I496*0.6</f>
        <v>0</v>
      </c>
      <c r="K496" s="900">
        <f>SUM(K492:K495)</f>
        <v>0</v>
      </c>
      <c r="L496" s="900"/>
      <c r="N496" s="899">
        <f>SUM(N492:N495)</f>
        <v>0</v>
      </c>
    </row>
    <row r="499" spans="2:13" ht="13" x14ac:dyDescent="0.3">
      <c r="B499" s="18" t="s">
        <v>364</v>
      </c>
      <c r="C499" s="381"/>
      <c r="D499" s="381"/>
      <c r="E499" s="381"/>
    </row>
    <row r="500" spans="2:13" ht="13" x14ac:dyDescent="0.3">
      <c r="B500" s="18"/>
      <c r="C500" s="381"/>
      <c r="D500" s="381"/>
      <c r="E500" s="381"/>
    </row>
    <row r="501" spans="2:13" ht="13" x14ac:dyDescent="0.3">
      <c r="B501" s="864">
        <f>F469</f>
        <v>2017</v>
      </c>
      <c r="C501" s="906">
        <f>J472</f>
        <v>0</v>
      </c>
      <c r="D501" s="381"/>
      <c r="E501" s="381"/>
    </row>
    <row r="502" spans="2:13" ht="13" x14ac:dyDescent="0.3">
      <c r="B502" s="864">
        <f>F474</f>
        <v>2018</v>
      </c>
      <c r="C502" s="906">
        <f>K479</f>
        <v>0</v>
      </c>
      <c r="D502" s="381"/>
      <c r="E502" s="381"/>
    </row>
    <row r="503" spans="2:13" ht="13" x14ac:dyDescent="0.3">
      <c r="B503" s="864">
        <f>F481</f>
        <v>2019</v>
      </c>
      <c r="C503" s="906">
        <f>K487</f>
        <v>0</v>
      </c>
      <c r="D503" s="381"/>
      <c r="E503" s="381"/>
    </row>
    <row r="504" spans="2:13" ht="13" x14ac:dyDescent="0.3">
      <c r="B504" s="864">
        <f>F489</f>
        <v>2020</v>
      </c>
      <c r="C504" s="906">
        <f>K496</f>
        <v>0</v>
      </c>
      <c r="D504" s="381"/>
      <c r="E504" s="381"/>
    </row>
    <row r="505" spans="2:13" x14ac:dyDescent="0.25">
      <c r="M505" s="610"/>
    </row>
    <row r="506" spans="2:13" x14ac:dyDescent="0.25">
      <c r="M506" s="610"/>
    </row>
  </sheetData>
  <mergeCells count="267">
    <mergeCell ref="B65:E65"/>
    <mergeCell ref="B101:E101"/>
    <mergeCell ref="B42:E42"/>
    <mergeCell ref="B43:E43"/>
    <mergeCell ref="B76:E76"/>
    <mergeCell ref="B77:E77"/>
    <mergeCell ref="B75:E75"/>
    <mergeCell ref="B74:E74"/>
    <mergeCell ref="B82:E82"/>
    <mergeCell ref="B83:E83"/>
    <mergeCell ref="B84:E84"/>
    <mergeCell ref="B72:E72"/>
    <mergeCell ref="B69:E69"/>
    <mergeCell ref="B70:E70"/>
    <mergeCell ref="B71:E71"/>
    <mergeCell ref="B80:E80"/>
    <mergeCell ref="B182:E182"/>
    <mergeCell ref="B184:E184"/>
    <mergeCell ref="B177:E177"/>
    <mergeCell ref="B178:E178"/>
    <mergeCell ref="B179:E179"/>
    <mergeCell ref="B180:E180"/>
    <mergeCell ref="B95:E95"/>
    <mergeCell ref="B96:E96"/>
    <mergeCell ref="B85:E85"/>
    <mergeCell ref="B86:E86"/>
    <mergeCell ref="B173:E173"/>
    <mergeCell ref="B110:E110"/>
    <mergeCell ref="B111:E111"/>
    <mergeCell ref="B112:E112"/>
    <mergeCell ref="B113:E113"/>
    <mergeCell ref="B114:E114"/>
    <mergeCell ref="B104:E104"/>
    <mergeCell ref="B103:E103"/>
    <mergeCell ref="B181:E181"/>
    <mergeCell ref="B93:E93"/>
    <mergeCell ref="B94:E94"/>
    <mergeCell ref="B92:E92"/>
    <mergeCell ref="B52:E52"/>
    <mergeCell ref="B59:E59"/>
    <mergeCell ref="B66:E66"/>
    <mergeCell ref="B73:E73"/>
    <mergeCell ref="B54:E54"/>
    <mergeCell ref="B53:E53"/>
    <mergeCell ref="B90:E90"/>
    <mergeCell ref="B81:E81"/>
    <mergeCell ref="B175:E175"/>
    <mergeCell ref="B176:E176"/>
    <mergeCell ref="B62:E62"/>
    <mergeCell ref="B63:E63"/>
    <mergeCell ref="B64:E64"/>
    <mergeCell ref="B109:E109"/>
    <mergeCell ref="B78:E78"/>
    <mergeCell ref="B79:E79"/>
    <mergeCell ref="B55:E55"/>
    <mergeCell ref="B58:E58"/>
    <mergeCell ref="B57:E57"/>
    <mergeCell ref="B61:E61"/>
    <mergeCell ref="A1:J1"/>
    <mergeCell ref="B4:E4"/>
    <mergeCell ref="B7:E7"/>
    <mergeCell ref="B13:E13"/>
    <mergeCell ref="B15:E15"/>
    <mergeCell ref="B16:E16"/>
    <mergeCell ref="B32:E32"/>
    <mergeCell ref="B37:E37"/>
    <mergeCell ref="B24:E24"/>
    <mergeCell ref="B29:E29"/>
    <mergeCell ref="B31:E31"/>
    <mergeCell ref="B17:E17"/>
    <mergeCell ref="B18:E18"/>
    <mergeCell ref="B19:E19"/>
    <mergeCell ref="B20:E20"/>
    <mergeCell ref="B21:E21"/>
    <mergeCell ref="B22:E22"/>
    <mergeCell ref="B33:E33"/>
    <mergeCell ref="B105:E105"/>
    <mergeCell ref="B106:E106"/>
    <mergeCell ref="B107:E107"/>
    <mergeCell ref="B108:E108"/>
    <mergeCell ref="B39:E39"/>
    <mergeCell ref="B34:E34"/>
    <mergeCell ref="B35:E35"/>
    <mergeCell ref="B36:E36"/>
    <mergeCell ref="B49:E49"/>
    <mergeCell ref="B40:E40"/>
    <mergeCell ref="B47:E47"/>
    <mergeCell ref="B46:E46"/>
    <mergeCell ref="B44:E44"/>
    <mergeCell ref="B91:E91"/>
    <mergeCell ref="B51:E51"/>
    <mergeCell ref="B56:E56"/>
    <mergeCell ref="B50:E50"/>
    <mergeCell ref="B48:E48"/>
    <mergeCell ref="B38:E38"/>
    <mergeCell ref="B60:E60"/>
    <mergeCell ref="B68:E68"/>
    <mergeCell ref="B67:E67"/>
    <mergeCell ref="B45:E45"/>
    <mergeCell ref="B41:E41"/>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57:E157"/>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91:E191"/>
    <mergeCell ref="B192:E192"/>
    <mergeCell ref="B196:E196"/>
    <mergeCell ref="B197:E197"/>
    <mergeCell ref="B198:E198"/>
    <mergeCell ref="B203:E203"/>
    <mergeCell ref="B166:E166"/>
    <mergeCell ref="B167:E167"/>
    <mergeCell ref="B25:E25"/>
    <mergeCell ref="B88:E88"/>
    <mergeCell ref="B97:E97"/>
    <mergeCell ref="B168:E168"/>
    <mergeCell ref="B158:E158"/>
    <mergeCell ref="B161:E161"/>
    <mergeCell ref="B162:E162"/>
    <mergeCell ref="B163:E163"/>
    <mergeCell ref="B151:E151"/>
    <mergeCell ref="B164:E164"/>
    <mergeCell ref="B165:E165"/>
    <mergeCell ref="B152:E152"/>
    <mergeCell ref="B153:E153"/>
    <mergeCell ref="B154:E154"/>
    <mergeCell ref="B155:E155"/>
    <mergeCell ref="B156:E156"/>
    <mergeCell ref="B214:E214"/>
    <mergeCell ref="B215:E215"/>
    <mergeCell ref="B231:E231"/>
    <mergeCell ref="B232:E232"/>
    <mergeCell ref="B236:E236"/>
    <mergeCell ref="B237:E237"/>
    <mergeCell ref="B204:E204"/>
    <mergeCell ref="B205:E205"/>
    <mergeCell ref="B206:E206"/>
    <mergeCell ref="B211:E211"/>
    <mergeCell ref="B212:E212"/>
    <mergeCell ref="B213:E213"/>
    <mergeCell ref="B252:E252"/>
    <mergeCell ref="B253:E253"/>
    <mergeCell ref="B254:E254"/>
    <mergeCell ref="B255:E255"/>
    <mergeCell ref="B238:E238"/>
    <mergeCell ref="B243:E243"/>
    <mergeCell ref="B244:E244"/>
    <mergeCell ref="B245:E245"/>
    <mergeCell ref="B246:E246"/>
    <mergeCell ref="B251:E251"/>
    <mergeCell ref="B284:E284"/>
    <mergeCell ref="B285:E285"/>
    <mergeCell ref="B286:E286"/>
    <mergeCell ref="B291:E291"/>
    <mergeCell ref="B292:E292"/>
    <mergeCell ref="B293:E293"/>
    <mergeCell ref="B271:E271"/>
    <mergeCell ref="B272:E272"/>
    <mergeCell ref="B276:E276"/>
    <mergeCell ref="B277:E277"/>
    <mergeCell ref="B278:E278"/>
    <mergeCell ref="B283:E283"/>
    <mergeCell ref="B318:E318"/>
    <mergeCell ref="B323:E323"/>
    <mergeCell ref="B324:E324"/>
    <mergeCell ref="B325:E325"/>
    <mergeCell ref="B326:E326"/>
    <mergeCell ref="B331:E331"/>
    <mergeCell ref="B294:E294"/>
    <mergeCell ref="B295:E295"/>
    <mergeCell ref="B311:E311"/>
    <mergeCell ref="B312:E312"/>
    <mergeCell ref="B316:E316"/>
    <mergeCell ref="B317:E317"/>
    <mergeCell ref="B356:E356"/>
    <mergeCell ref="B357:E357"/>
    <mergeCell ref="B358:E358"/>
    <mergeCell ref="B363:E363"/>
    <mergeCell ref="B364:E364"/>
    <mergeCell ref="B365:E365"/>
    <mergeCell ref="B332:E332"/>
    <mergeCell ref="B333:E333"/>
    <mergeCell ref="B334:E334"/>
    <mergeCell ref="B335:E335"/>
    <mergeCell ref="B351:E351"/>
    <mergeCell ref="B352:E352"/>
    <mergeCell ref="B391:E391"/>
    <mergeCell ref="B392:E392"/>
    <mergeCell ref="B396:E396"/>
    <mergeCell ref="B397:E397"/>
    <mergeCell ref="B398:E398"/>
    <mergeCell ref="B403:E403"/>
    <mergeCell ref="B366:E366"/>
    <mergeCell ref="B371:E371"/>
    <mergeCell ref="B372:E372"/>
    <mergeCell ref="B373:E373"/>
    <mergeCell ref="B374:E374"/>
    <mergeCell ref="B375:E375"/>
    <mergeCell ref="B414:E414"/>
    <mergeCell ref="B415:E415"/>
    <mergeCell ref="B431:E431"/>
    <mergeCell ref="B432:E432"/>
    <mergeCell ref="B436:E436"/>
    <mergeCell ref="B437:E437"/>
    <mergeCell ref="B404:E404"/>
    <mergeCell ref="B405:E405"/>
    <mergeCell ref="B406:E406"/>
    <mergeCell ref="B411:E411"/>
    <mergeCell ref="B412:E412"/>
    <mergeCell ref="B413:E413"/>
    <mergeCell ref="B452:E452"/>
    <mergeCell ref="B453:E453"/>
    <mergeCell ref="B454:E454"/>
    <mergeCell ref="B455:E455"/>
    <mergeCell ref="B471:E471"/>
    <mergeCell ref="B472:E472"/>
    <mergeCell ref="B438:E438"/>
    <mergeCell ref="B443:E443"/>
    <mergeCell ref="B444:E444"/>
    <mergeCell ref="B445:E445"/>
    <mergeCell ref="B446:E446"/>
    <mergeCell ref="B451:E451"/>
    <mergeCell ref="B486:E486"/>
    <mergeCell ref="B491:E491"/>
    <mergeCell ref="B492:E492"/>
    <mergeCell ref="B493:E493"/>
    <mergeCell ref="B494:E494"/>
    <mergeCell ref="B495:E495"/>
    <mergeCell ref="B476:E476"/>
    <mergeCell ref="B477:E477"/>
    <mergeCell ref="B478:E478"/>
    <mergeCell ref="B483:E483"/>
    <mergeCell ref="B484:E484"/>
    <mergeCell ref="B485:E485"/>
  </mergeCells>
  <conditionalFormatting sqref="B19:L20 B59:L72 B131:L144 B179:G180">
    <cfRule type="expression" dxfId="71" priority="73" stopIfTrue="1">
      <formula>$B$7="gas"</formula>
    </cfRule>
  </conditionalFormatting>
  <conditionalFormatting sqref="B21:L21 B73:L79 B145:L151 B181:G181">
    <cfRule type="expression" dxfId="70" priority="72" stopIfTrue="1">
      <formula>$B$7="elektriciteit"</formula>
    </cfRule>
  </conditionalFormatting>
  <conditionalFormatting sqref="N19:N20 N59:N72 N131:N144">
    <cfRule type="expression" dxfId="69" priority="68" stopIfTrue="1">
      <formula>$B$7="gas"</formula>
    </cfRule>
  </conditionalFormatting>
  <conditionalFormatting sqref="N21 N73:N79 N145:N151">
    <cfRule type="expression" dxfId="68" priority="67" stopIfTrue="1">
      <formula>$B$7="elektriciteit"</formula>
    </cfRule>
  </conditionalFormatting>
  <conditionalFormatting sqref="B347:N424">
    <cfRule type="expression" dxfId="67" priority="4" stopIfTrue="1">
      <formula>$B$7="gas"</formula>
    </cfRule>
  </conditionalFormatting>
  <conditionalFormatting sqref="B427:N464">
    <cfRule type="expression" dxfId="66" priority="3" stopIfTrue="1">
      <formula>$B$7="elektriciteit"</formula>
    </cfRule>
  </conditionalFormatting>
  <pageMargins left="0.70866141732283472" right="0.70866141732283472" top="0.74803149606299213" bottom="0.74803149606299213" header="0.31496062992125984" footer="0.31496062992125984"/>
  <pageSetup paperSize="8" scale="27" fitToWidth="2" fitToHeight="2" orientation="portrait" r:id="rId1"/>
  <rowBreaks count="1" manualBreakCount="1">
    <brk id="97" max="13" man="1"/>
  </rowBreaks>
  <ignoredErrors>
    <ignoredError sqref="G104 G96:J96 G167:L167 N15:N22 N34:N37 N91:N96 N162:N167 N39:N44 N46:N51 N53:N58 N60:N65 N67:N72 N74:N79 N81:N86 N32:N33 G93 G94:H94 G95:I95 G153 G146 G139 G132 G118 G111 G125 G110 G131 G117 G124 G138 G145 G152 G158 G105 G106 G107 G108 G109 G112 G113 G114 G115 G116 G123 G130 G137 G144 G151 G119 G120 G121 G122 G126 G127 G128 G129 G133 G134 G135 G136 G140 G141 G142 G143 G147 G148 G149 G150 G154 G155 G156 G157 H157:J157 H156:I156 H155 H150:J150 H149:I149 H148 H143:J143 H142:I142 H141 H136:J136 H135:I135 H134 H129:J129 H128:I128 H127 H122:J122 H121:I121 H120 H151:K151 H144:K144 H137:K137 H130:K130 H123 H116:K116 H115:J115 H114:I114 H113 H109:K109 H108:J108 H107:I107 H106 H158:K158 H152:N152 H145:N145 H138:N138 H124:N124 H117:N117 H131:N131 H110:N110 L109 L116 K136:L136 K129:L129 H125:L125 N125 K122:L122 H111:L111 N111 H118:L118 N118 K143:L143 H132:L132 N132 K150:L150 H139:L139 N139 K157:L157 H146:L146 N146 L158 H153:L153 N153 H105:L105 N104:N105 I106:L106 N106 J107:L107 N107 K108:L108 N108 N109 H112:L112 N112 I113:L113 N113 J114:L114 N114 K115:L115 N115 N116 L123 L130 L137 L144 L151 H119:L119 N119 I120:L120 N120 J121:L121 N121 N122 N123 H126:L126 N126 I127:L127 N127 J128:L128 N128 N129 N130 H133:L133 N133 I134:L134 N134 J135:L135 N135 N136 N137 H140:L140 N140 I141:L141 N141 J142:L142 N142 N143 N144 H147:L147 N147 I148:L148 N148 J149:L149 N149 N150 N151 H154:L154 N154 I155:L155 N155 J156:L156 N156 N157 N158 G162 G163:H163 G164:I164 G165:J165 G166:K166 J123:K12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4"/>
  <sheetViews>
    <sheetView zoomScale="80" zoomScaleNormal="80" zoomScaleSheetLayoutView="80" workbookViewId="0">
      <selection activeCell="A34" sqref="A34:A40"/>
    </sheetView>
  </sheetViews>
  <sheetFormatPr defaultColWidth="11.453125" defaultRowHeight="12.5" x14ac:dyDescent="0.25"/>
  <cols>
    <col min="1" max="1" width="19.7265625" style="187" customWidth="1"/>
    <col min="2" max="2" width="14.81640625" style="187" customWidth="1"/>
    <col min="3" max="6" width="28.26953125" style="187" customWidth="1"/>
    <col min="7" max="7" width="33.81640625" style="187" customWidth="1"/>
    <col min="8" max="8" width="28.26953125" style="187" customWidth="1"/>
    <col min="9" max="9" width="24.26953125" style="187" customWidth="1"/>
    <col min="10" max="10" width="27.81640625" style="187" customWidth="1"/>
    <col min="11" max="11" width="17.81640625" style="187" customWidth="1"/>
    <col min="12" max="12" width="17.7265625" style="187" customWidth="1"/>
    <col min="13" max="13" width="26.7265625" style="187" bestFit="1" customWidth="1"/>
    <col min="14" max="14" width="14" style="187" customWidth="1"/>
    <col min="15" max="15" width="11.453125" style="187"/>
    <col min="16" max="16" width="12.26953125" style="187" bestFit="1" customWidth="1"/>
    <col min="17" max="16384" width="11.453125" style="187"/>
  </cols>
  <sheetData>
    <row r="1" spans="1:29" ht="38.25" customHeight="1" thickBot="1" x14ac:dyDescent="0.45">
      <c r="A1" s="1092" t="s">
        <v>313</v>
      </c>
      <c r="B1" s="1093"/>
      <c r="C1" s="1093"/>
      <c r="D1" s="1093"/>
      <c r="E1" s="1093"/>
      <c r="F1" s="1093"/>
      <c r="G1" s="1093"/>
      <c r="H1" s="1093"/>
      <c r="I1" s="1093"/>
      <c r="J1" s="1094"/>
      <c r="K1" s="46"/>
      <c r="L1" s="46"/>
      <c r="M1" s="46"/>
    </row>
    <row r="2" spans="1:29" x14ac:dyDescent="0.25">
      <c r="A2" s="233"/>
      <c r="B2" s="233"/>
      <c r="C2" s="233"/>
      <c r="D2" s="233"/>
      <c r="E2" s="233"/>
      <c r="F2" s="233"/>
      <c r="G2" s="233"/>
      <c r="H2" s="233"/>
      <c r="I2" s="233"/>
      <c r="J2" s="233"/>
      <c r="K2" s="188"/>
      <c r="L2" s="188"/>
      <c r="M2" s="188"/>
    </row>
    <row r="3" spans="1:29" ht="13" thickBot="1" x14ac:dyDescent="0.3">
      <c r="A3" s="233"/>
      <c r="B3" s="233"/>
      <c r="C3" s="233"/>
      <c r="D3" s="233"/>
      <c r="E3" s="233"/>
      <c r="F3" s="233"/>
      <c r="G3" s="233"/>
      <c r="H3" s="233"/>
      <c r="I3" s="233"/>
      <c r="J3" s="233"/>
      <c r="K3" s="188"/>
      <c r="L3" s="188"/>
      <c r="M3" s="188"/>
    </row>
    <row r="4" spans="1:29" s="190" customFormat="1" ht="16" thickBot="1" x14ac:dyDescent="0.4">
      <c r="A4" s="1095" t="s">
        <v>192</v>
      </c>
      <c r="B4" s="1096"/>
      <c r="C4" s="1096"/>
      <c r="D4" s="1096"/>
      <c r="E4" s="1096"/>
      <c r="F4" s="1096"/>
      <c r="G4" s="1096"/>
      <c r="H4" s="1096"/>
      <c r="I4" s="1096"/>
      <c r="J4" s="1097"/>
      <c r="K4" s="189"/>
      <c r="L4" s="487"/>
      <c r="M4" s="488" t="str">
        <f>+TITELBLAD!B18</f>
        <v>Rapportering over boekjaar:</v>
      </c>
      <c r="N4" s="488">
        <f>+TITELBLAD!E18</f>
        <v>2019</v>
      </c>
      <c r="O4" s="488" t="str">
        <f>+TITELBLAD!F18</f>
        <v>ex-ante</v>
      </c>
      <c r="P4" s="187"/>
      <c r="Q4" s="187"/>
      <c r="R4" s="187"/>
      <c r="S4" s="187"/>
      <c r="T4" s="187"/>
      <c r="U4" s="187"/>
      <c r="V4" s="187"/>
      <c r="W4" s="187"/>
      <c r="X4" s="187"/>
      <c r="Y4" s="187"/>
      <c r="Z4" s="187"/>
      <c r="AA4" s="187"/>
      <c r="AB4" s="187"/>
      <c r="AC4" s="187"/>
    </row>
    <row r="5" spans="1:29" ht="13" thickBot="1" x14ac:dyDescent="0.3">
      <c r="L5" s="488"/>
      <c r="M5" s="488"/>
      <c r="N5" s="488"/>
      <c r="O5" s="488"/>
    </row>
    <row r="6" spans="1:29" ht="17" thickBot="1" x14ac:dyDescent="0.4">
      <c r="C6" s="1054" t="str">
        <f>+TITELBLAD!C7</f>
        <v>Naam distributienetbeheerder</v>
      </c>
      <c r="D6" s="1055"/>
      <c r="E6" s="1055"/>
      <c r="F6" s="1055"/>
      <c r="G6" s="1055"/>
      <c r="H6" s="1056"/>
      <c r="L6" s="488"/>
      <c r="M6" s="488"/>
      <c r="N6" s="488"/>
      <c r="O6" s="488"/>
    </row>
    <row r="7" spans="1:29" ht="17" thickBot="1" x14ac:dyDescent="0.4">
      <c r="C7" s="1054" t="str">
        <f>+TITELBLAD!C12</f>
        <v>elektriciteit</v>
      </c>
      <c r="D7" s="1055"/>
      <c r="E7" s="1055"/>
      <c r="F7" s="1055"/>
      <c r="G7" s="1055"/>
      <c r="H7" s="1056"/>
      <c r="L7" s="488"/>
      <c r="M7" s="488"/>
      <c r="N7" s="488"/>
      <c r="O7" s="488"/>
    </row>
    <row r="8" spans="1:29" s="190" customFormat="1" ht="17" thickBot="1" x14ac:dyDescent="0.4">
      <c r="A8" s="187"/>
      <c r="B8" s="187"/>
      <c r="C8" s="1043" t="s">
        <v>43</v>
      </c>
      <c r="D8" s="1044"/>
      <c r="E8" s="1044"/>
      <c r="F8" s="1044"/>
      <c r="G8" s="1044"/>
      <c r="H8" s="1045"/>
      <c r="I8" s="187"/>
      <c r="J8" s="187"/>
      <c r="K8" s="187"/>
      <c r="L8" s="187"/>
      <c r="M8" s="187"/>
      <c r="N8" s="187"/>
      <c r="O8" s="187"/>
      <c r="P8" s="187"/>
      <c r="Q8" s="187"/>
      <c r="R8" s="187"/>
      <c r="S8" s="187"/>
      <c r="T8" s="187"/>
      <c r="U8" s="187"/>
      <c r="V8" s="187"/>
      <c r="W8" s="187"/>
      <c r="X8" s="187"/>
      <c r="Y8" s="187"/>
      <c r="Z8" s="187"/>
      <c r="AA8" s="187"/>
      <c r="AB8" s="187"/>
      <c r="AC8" s="187"/>
    </row>
    <row r="9" spans="1:29" s="190" customFormat="1" ht="13.5" thickBot="1" x14ac:dyDescent="0.35">
      <c r="A9" s="187"/>
      <c r="B9" s="187"/>
      <c r="C9" s="672">
        <v>2015</v>
      </c>
      <c r="D9" s="673">
        <v>2016</v>
      </c>
      <c r="E9" s="673">
        <v>2017</v>
      </c>
      <c r="F9" s="673">
        <v>2018</v>
      </c>
      <c r="G9" s="673">
        <v>2019</v>
      </c>
      <c r="H9" s="670">
        <v>2020</v>
      </c>
      <c r="I9" s="187"/>
      <c r="J9" s="187"/>
      <c r="K9" s="187"/>
      <c r="L9" s="187"/>
      <c r="M9" s="187"/>
      <c r="N9" s="187"/>
      <c r="O9" s="187"/>
      <c r="P9" s="187"/>
      <c r="Q9" s="187"/>
      <c r="R9" s="187"/>
      <c r="S9" s="187"/>
      <c r="T9" s="187"/>
      <c r="U9" s="187"/>
      <c r="V9" s="187"/>
      <c r="W9" s="187"/>
      <c r="X9" s="187"/>
      <c r="Y9" s="187"/>
      <c r="Z9" s="187"/>
      <c r="AA9" s="187"/>
      <c r="AB9" s="187"/>
      <c r="AC9" s="187"/>
    </row>
    <row r="10" spans="1:29" s="190" customFormat="1" x14ac:dyDescent="0.25">
      <c r="A10" s="187"/>
      <c r="B10" s="187"/>
      <c r="C10" s="467">
        <v>0</v>
      </c>
      <c r="D10" s="671">
        <v>0</v>
      </c>
      <c r="E10" s="671">
        <v>0</v>
      </c>
      <c r="F10" s="671">
        <v>0</v>
      </c>
      <c r="G10" s="671">
        <v>0</v>
      </c>
      <c r="H10" s="671">
        <v>0</v>
      </c>
      <c r="I10" s="187"/>
      <c r="J10" s="187"/>
      <c r="K10" s="187"/>
      <c r="L10" s="187"/>
      <c r="M10" s="187"/>
      <c r="N10" s="187"/>
      <c r="O10" s="187"/>
      <c r="P10" s="187"/>
      <c r="Q10" s="187"/>
      <c r="R10" s="187"/>
      <c r="S10" s="187"/>
      <c r="T10" s="187"/>
      <c r="U10" s="187"/>
      <c r="V10" s="187"/>
      <c r="W10" s="187"/>
      <c r="X10" s="187"/>
      <c r="Y10" s="187"/>
      <c r="Z10" s="187"/>
      <c r="AA10" s="187"/>
      <c r="AB10" s="187"/>
      <c r="AC10" s="187"/>
    </row>
    <row r="11" spans="1:29" s="193" customFormat="1" ht="13" x14ac:dyDescent="0.3">
      <c r="C11" s="194" t="s">
        <v>67</v>
      </c>
      <c r="F11" s="195"/>
      <c r="G11" s="195"/>
      <c r="H11" s="195"/>
    </row>
    <row r="12" spans="1:29" s="193" customFormat="1" ht="13" x14ac:dyDescent="0.3">
      <c r="C12" s="196" t="s">
        <v>344</v>
      </c>
    </row>
    <row r="13" spans="1:29" s="193" customFormat="1" ht="13" x14ac:dyDescent="0.3">
      <c r="C13" s="196"/>
    </row>
    <row r="14" spans="1:29" ht="13.5" thickBot="1" x14ac:dyDescent="0.35">
      <c r="C14" s="197"/>
    </row>
    <row r="15" spans="1:29" ht="21.75" customHeight="1" thickBot="1" x14ac:dyDescent="0.35">
      <c r="A15" s="1046" t="s">
        <v>29</v>
      </c>
      <c r="B15" s="1047"/>
      <c r="C15" s="1047"/>
      <c r="D15" s="1047"/>
      <c r="E15" s="1047"/>
      <c r="F15" s="1047"/>
      <c r="G15" s="1047"/>
      <c r="H15" s="1047"/>
      <c r="I15" s="1047"/>
      <c r="J15" s="1048"/>
      <c r="K15" s="1049"/>
      <c r="L15" s="1050"/>
    </row>
    <row r="17" spans="1:29" ht="13" x14ac:dyDescent="0.3">
      <c r="C17" s="194" t="s">
        <v>67</v>
      </c>
    </row>
    <row r="18" spans="1:29" ht="13" x14ac:dyDescent="0.3">
      <c r="C18" s="196" t="s">
        <v>344</v>
      </c>
    </row>
    <row r="19" spans="1:29" ht="16.5" x14ac:dyDescent="0.35">
      <c r="C19" s="1023" t="s">
        <v>30</v>
      </c>
      <c r="D19" s="1024"/>
      <c r="E19" s="1024"/>
      <c r="F19" s="1024"/>
      <c r="G19" s="1024"/>
      <c r="H19" s="1025"/>
      <c r="J19" s="200" t="s">
        <v>31</v>
      </c>
    </row>
    <row r="20" spans="1:29" ht="13.5" thickBot="1" x14ac:dyDescent="0.35">
      <c r="A20" s="1035"/>
      <c r="B20" s="1035"/>
      <c r="C20" s="201">
        <f t="shared" ref="C20:H20" si="0">C9</f>
        <v>2015</v>
      </c>
      <c r="D20" s="202">
        <f t="shared" si="0"/>
        <v>2016</v>
      </c>
      <c r="E20" s="202">
        <f t="shared" si="0"/>
        <v>2017</v>
      </c>
      <c r="F20" s="202">
        <f t="shared" si="0"/>
        <v>2018</v>
      </c>
      <c r="G20" s="202">
        <f t="shared" si="0"/>
        <v>2019</v>
      </c>
      <c r="H20" s="202">
        <f t="shared" si="0"/>
        <v>2020</v>
      </c>
      <c r="J20" s="203"/>
    </row>
    <row r="21" spans="1:29" s="190" customFormat="1" ht="12.75" customHeight="1" thickBot="1" x14ac:dyDescent="0.3">
      <c r="A21" s="1032" t="s">
        <v>32</v>
      </c>
      <c r="B21" s="204">
        <f>C9</f>
        <v>2015</v>
      </c>
      <c r="C21" s="669">
        <v>0</v>
      </c>
      <c r="D21" s="205"/>
      <c r="E21" s="205"/>
      <c r="F21" s="205"/>
      <c r="G21" s="205"/>
      <c r="H21" s="206"/>
      <c r="I21" s="207"/>
      <c r="J21" s="208">
        <f t="shared" ref="J21:J26" si="1">SUM(C21:H21)</f>
        <v>0</v>
      </c>
      <c r="K21" s="187"/>
      <c r="L21" s="187"/>
      <c r="M21" s="187"/>
      <c r="N21" s="187"/>
      <c r="O21" s="187"/>
      <c r="P21" s="187"/>
      <c r="Q21" s="187"/>
      <c r="R21" s="187"/>
      <c r="S21" s="187"/>
      <c r="T21" s="187"/>
      <c r="U21" s="187"/>
      <c r="V21" s="187"/>
      <c r="W21" s="187"/>
      <c r="X21" s="187"/>
      <c r="Y21" s="187"/>
      <c r="Z21" s="187"/>
      <c r="AA21" s="187"/>
      <c r="AB21" s="187"/>
      <c r="AC21" s="187"/>
    </row>
    <row r="22" spans="1:29" s="190" customFormat="1" ht="13.5" customHeight="1" thickBot="1" x14ac:dyDescent="0.3">
      <c r="A22" s="1033"/>
      <c r="B22" s="209">
        <f>D9</f>
        <v>2016</v>
      </c>
      <c r="C22" s="470">
        <f>C10-C21</f>
        <v>0</v>
      </c>
      <c r="D22" s="669">
        <v>0</v>
      </c>
      <c r="E22" s="210"/>
      <c r="F22" s="210"/>
      <c r="G22" s="210"/>
      <c r="H22" s="211"/>
      <c r="I22" s="207"/>
      <c r="J22" s="208">
        <f t="shared" si="1"/>
        <v>0</v>
      </c>
      <c r="K22" s="187"/>
      <c r="L22" s="187"/>
      <c r="M22" s="187"/>
      <c r="N22" s="187"/>
      <c r="O22" s="187"/>
      <c r="P22" s="187"/>
      <c r="Q22" s="187"/>
      <c r="R22" s="187"/>
      <c r="S22" s="187"/>
      <c r="T22" s="187"/>
      <c r="U22" s="187"/>
      <c r="V22" s="187"/>
      <c r="W22" s="187"/>
      <c r="X22" s="187"/>
      <c r="Y22" s="187"/>
      <c r="Z22" s="187"/>
      <c r="AA22" s="187"/>
      <c r="AB22" s="187"/>
      <c r="AC22" s="187"/>
    </row>
    <row r="23" spans="1:29" s="190" customFormat="1" ht="13.5" customHeight="1" thickBot="1" x14ac:dyDescent="0.3">
      <c r="A23" s="1033"/>
      <c r="B23" s="209">
        <f>E9</f>
        <v>2017</v>
      </c>
      <c r="C23" s="210"/>
      <c r="D23" s="470">
        <f>D10-D22</f>
        <v>0</v>
      </c>
      <c r="E23" s="669">
        <v>0</v>
      </c>
      <c r="F23" s="210"/>
      <c r="G23" s="210"/>
      <c r="H23" s="211"/>
      <c r="I23" s="207"/>
      <c r="J23" s="208">
        <f t="shared" si="1"/>
        <v>0</v>
      </c>
      <c r="K23" s="187"/>
      <c r="L23" s="187"/>
      <c r="M23" s="187"/>
      <c r="N23" s="187"/>
      <c r="O23" s="187"/>
      <c r="P23" s="187"/>
      <c r="Q23" s="187"/>
      <c r="R23" s="187"/>
      <c r="S23" s="187"/>
      <c r="T23" s="187"/>
      <c r="U23" s="187"/>
      <c r="V23" s="187"/>
      <c r="W23" s="187"/>
      <c r="X23" s="187"/>
      <c r="Y23" s="187"/>
      <c r="Z23" s="187"/>
      <c r="AA23" s="187"/>
      <c r="AB23" s="187"/>
      <c r="AC23" s="187"/>
    </row>
    <row r="24" spans="1:29" s="190" customFormat="1" ht="13.5" customHeight="1" thickBot="1" x14ac:dyDescent="0.3">
      <c r="A24" s="1033"/>
      <c r="B24" s="209">
        <f>F9</f>
        <v>2018</v>
      </c>
      <c r="C24" s="210"/>
      <c r="D24" s="210"/>
      <c r="E24" s="470">
        <f>E10-E23</f>
        <v>0</v>
      </c>
      <c r="F24" s="669">
        <v>0</v>
      </c>
      <c r="G24" s="210"/>
      <c r="H24" s="211"/>
      <c r="I24" s="207"/>
      <c r="J24" s="208">
        <f t="shared" si="1"/>
        <v>0</v>
      </c>
      <c r="K24" s="187"/>
      <c r="L24" s="187"/>
      <c r="M24" s="187"/>
      <c r="N24" s="187"/>
      <c r="O24" s="187"/>
      <c r="P24" s="187"/>
      <c r="Q24" s="187"/>
      <c r="R24" s="187"/>
      <c r="S24" s="187"/>
      <c r="T24" s="187"/>
      <c r="U24" s="187"/>
      <c r="V24" s="187"/>
      <c r="W24" s="187"/>
      <c r="X24" s="187"/>
      <c r="Y24" s="187"/>
      <c r="Z24" s="187"/>
      <c r="AA24" s="187"/>
      <c r="AB24" s="187"/>
      <c r="AC24" s="187"/>
    </row>
    <row r="25" spans="1:29" s="190" customFormat="1" ht="13.5" customHeight="1" thickBot="1" x14ac:dyDescent="0.3">
      <c r="A25" s="1033"/>
      <c r="B25" s="209">
        <f>G9</f>
        <v>2019</v>
      </c>
      <c r="C25" s="210"/>
      <c r="D25" s="210"/>
      <c r="E25" s="210"/>
      <c r="F25" s="470">
        <f>F10-F24</f>
        <v>0</v>
      </c>
      <c r="G25" s="669">
        <v>0</v>
      </c>
      <c r="H25" s="211"/>
      <c r="I25" s="207"/>
      <c r="J25" s="208">
        <f t="shared" si="1"/>
        <v>0</v>
      </c>
      <c r="K25" s="187"/>
      <c r="L25" s="187"/>
      <c r="M25" s="187"/>
      <c r="N25" s="187"/>
      <c r="O25" s="187"/>
      <c r="P25" s="187"/>
      <c r="Q25" s="187"/>
      <c r="R25" s="187"/>
      <c r="S25" s="187"/>
      <c r="T25" s="187"/>
      <c r="U25" s="187"/>
      <c r="V25" s="187"/>
      <c r="W25" s="187"/>
      <c r="X25" s="187"/>
      <c r="Y25" s="187"/>
      <c r="Z25" s="187"/>
      <c r="AA25" s="187"/>
      <c r="AB25" s="187"/>
      <c r="AC25" s="187"/>
    </row>
    <row r="26" spans="1:29" s="190" customFormat="1" ht="13.5" customHeight="1" thickBot="1" x14ac:dyDescent="0.3">
      <c r="A26" s="1033"/>
      <c r="B26" s="209">
        <f>H9</f>
        <v>2020</v>
      </c>
      <c r="C26" s="210"/>
      <c r="D26" s="210"/>
      <c r="E26" s="210"/>
      <c r="F26" s="210"/>
      <c r="G26" s="470">
        <f>G10-G25</f>
        <v>0</v>
      </c>
      <c r="H26" s="669">
        <v>0</v>
      </c>
      <c r="I26" s="207"/>
      <c r="J26" s="208">
        <f t="shared" si="1"/>
        <v>0</v>
      </c>
      <c r="K26" s="187"/>
      <c r="L26" s="187"/>
      <c r="M26" s="187"/>
      <c r="N26" s="187"/>
      <c r="O26" s="187"/>
      <c r="P26" s="187"/>
      <c r="Q26" s="187"/>
      <c r="R26" s="187"/>
      <c r="S26" s="187"/>
      <c r="T26" s="187"/>
      <c r="U26" s="187"/>
      <c r="V26" s="187"/>
      <c r="W26" s="187"/>
      <c r="X26" s="187"/>
      <c r="Y26" s="187"/>
      <c r="Z26" s="187"/>
      <c r="AA26" s="187"/>
      <c r="AB26" s="187"/>
      <c r="AC26" s="187"/>
    </row>
    <row r="27" spans="1:29" s="199" customFormat="1" ht="15.5" x14ac:dyDescent="0.35">
      <c r="A27" s="1036"/>
      <c r="B27" s="212" t="s">
        <v>33</v>
      </c>
      <c r="C27" s="213">
        <f t="shared" ref="C27:H27" si="2">SUM(C21:C26)</f>
        <v>0</v>
      </c>
      <c r="D27" s="213">
        <f t="shared" si="2"/>
        <v>0</v>
      </c>
      <c r="E27" s="213">
        <f t="shared" si="2"/>
        <v>0</v>
      </c>
      <c r="F27" s="213">
        <f t="shared" si="2"/>
        <v>0</v>
      </c>
      <c r="G27" s="213">
        <f t="shared" si="2"/>
        <v>0</v>
      </c>
      <c r="H27" s="214">
        <f t="shared" si="2"/>
        <v>0</v>
      </c>
      <c r="I27" s="215"/>
      <c r="J27" s="216">
        <f>SUM(J21:J26)</f>
        <v>0</v>
      </c>
      <c r="K27" s="198"/>
      <c r="L27" s="198"/>
      <c r="M27" s="198"/>
      <c r="N27" s="198"/>
      <c r="O27" s="198"/>
      <c r="P27" s="198"/>
      <c r="Q27" s="198"/>
      <c r="R27" s="198"/>
      <c r="S27" s="198"/>
      <c r="T27" s="198"/>
      <c r="U27" s="198"/>
      <c r="V27" s="198"/>
      <c r="W27" s="198"/>
      <c r="X27" s="198"/>
      <c r="Y27" s="198"/>
      <c r="Z27" s="198"/>
      <c r="AA27" s="198"/>
      <c r="AB27" s="198"/>
      <c r="AC27" s="198"/>
    </row>
    <row r="28" spans="1:29" s="196" customFormat="1" ht="15.75" customHeight="1" x14ac:dyDescent="0.3">
      <c r="A28" s="217" t="s">
        <v>58</v>
      </c>
      <c r="C28" s="218">
        <f t="shared" ref="C28:H28" si="3">+C27+C40</f>
        <v>0</v>
      </c>
      <c r="D28" s="218">
        <f t="shared" si="3"/>
        <v>0</v>
      </c>
      <c r="E28" s="218">
        <f t="shared" si="3"/>
        <v>0</v>
      </c>
      <c r="F28" s="218">
        <f t="shared" si="3"/>
        <v>0</v>
      </c>
      <c r="G28" s="218">
        <f t="shared" si="3"/>
        <v>0</v>
      </c>
      <c r="H28" s="218">
        <f t="shared" si="3"/>
        <v>0</v>
      </c>
      <c r="I28" s="218"/>
      <c r="J28" s="218">
        <f>+J27+J40</f>
        <v>0</v>
      </c>
      <c r="K28" s="218"/>
    </row>
    <row r="29" spans="1:29" s="219" customFormat="1" ht="13" x14ac:dyDescent="0.3">
      <c r="A29" s="196"/>
      <c r="B29" s="196"/>
      <c r="C29" s="218"/>
      <c r="D29" s="218"/>
      <c r="E29" s="218"/>
      <c r="F29" s="218"/>
      <c r="G29" s="218"/>
      <c r="H29" s="218"/>
      <c r="I29" s="196"/>
      <c r="J29" s="196"/>
      <c r="K29" s="196"/>
      <c r="L29" s="196"/>
      <c r="M29" s="196"/>
      <c r="N29" s="196"/>
      <c r="O29" s="196"/>
      <c r="P29" s="196"/>
      <c r="Q29" s="196"/>
      <c r="R29" s="196"/>
      <c r="S29" s="196"/>
      <c r="T29" s="196"/>
      <c r="U29" s="196"/>
      <c r="V29" s="196"/>
      <c r="W29" s="196"/>
      <c r="X29" s="196"/>
      <c r="Y29" s="196"/>
      <c r="Z29" s="196"/>
      <c r="AA29" s="196"/>
      <c r="AB29" s="196"/>
      <c r="AC29" s="196"/>
    </row>
    <row r="30" spans="1:29" s="219" customFormat="1" ht="13" x14ac:dyDescent="0.3">
      <c r="A30" s="196"/>
      <c r="B30" s="196"/>
      <c r="C30" s="194" t="s">
        <v>56</v>
      </c>
      <c r="D30" s="218"/>
      <c r="E30" s="218"/>
      <c r="F30" s="218"/>
      <c r="G30" s="218"/>
      <c r="H30" s="218"/>
      <c r="I30" s="196"/>
      <c r="J30" s="196"/>
      <c r="K30" s="196"/>
      <c r="L30" s="196"/>
      <c r="M30" s="196"/>
      <c r="N30" s="196"/>
      <c r="O30" s="196"/>
      <c r="P30" s="196"/>
      <c r="Q30" s="196"/>
      <c r="R30" s="196"/>
      <c r="S30" s="196"/>
      <c r="T30" s="196"/>
      <c r="U30" s="196"/>
      <c r="V30" s="196"/>
      <c r="W30" s="196"/>
      <c r="X30" s="196"/>
      <c r="Y30" s="196"/>
      <c r="Z30" s="196"/>
      <c r="AA30" s="196"/>
      <c r="AB30" s="196"/>
      <c r="AC30" s="196"/>
    </row>
    <row r="31" spans="1:29" s="219" customFormat="1" ht="13" x14ac:dyDescent="0.3">
      <c r="A31" s="196"/>
      <c r="B31" s="196"/>
      <c r="C31" s="194" t="s">
        <v>57</v>
      </c>
      <c r="D31" s="218"/>
      <c r="E31" s="218"/>
      <c r="F31" s="218"/>
      <c r="G31" s="218"/>
      <c r="H31" s="218"/>
      <c r="I31" s="196"/>
      <c r="J31" s="196"/>
      <c r="K31" s="196"/>
      <c r="L31" s="196"/>
      <c r="M31" s="196"/>
      <c r="N31" s="196"/>
      <c r="O31" s="196"/>
      <c r="P31" s="196"/>
      <c r="Q31" s="196"/>
      <c r="R31" s="196"/>
      <c r="S31" s="196"/>
      <c r="T31" s="196"/>
      <c r="U31" s="196"/>
      <c r="V31" s="196"/>
      <c r="W31" s="196"/>
      <c r="X31" s="196"/>
      <c r="Y31" s="196"/>
      <c r="Z31" s="196"/>
      <c r="AA31" s="196"/>
      <c r="AB31" s="196"/>
      <c r="AC31" s="196"/>
    </row>
    <row r="32" spans="1:29" s="190" customFormat="1" ht="16.5" x14ac:dyDescent="0.35">
      <c r="A32" s="187"/>
      <c r="B32" s="187"/>
      <c r="C32" s="1029" t="s">
        <v>30</v>
      </c>
      <c r="D32" s="1030"/>
      <c r="E32" s="1030"/>
      <c r="F32" s="1030"/>
      <c r="G32" s="1030"/>
      <c r="H32" s="1031"/>
      <c r="I32" s="187"/>
      <c r="J32" s="200" t="s">
        <v>31</v>
      </c>
      <c r="K32" s="187"/>
      <c r="L32" s="200" t="s">
        <v>31</v>
      </c>
      <c r="M32" s="187"/>
      <c r="N32" s="187"/>
      <c r="O32" s="187"/>
      <c r="P32" s="187"/>
      <c r="Q32" s="187"/>
      <c r="R32" s="187"/>
      <c r="S32" s="187"/>
      <c r="T32" s="187"/>
      <c r="U32" s="187"/>
      <c r="V32" s="187"/>
      <c r="W32" s="187"/>
      <c r="X32" s="187"/>
      <c r="Y32" s="187"/>
      <c r="Z32" s="187"/>
      <c r="AA32" s="187"/>
      <c r="AB32" s="187"/>
      <c r="AC32" s="187"/>
    </row>
    <row r="33" spans="1:29" s="190" customFormat="1" x14ac:dyDescent="0.25">
      <c r="A33" s="187"/>
      <c r="B33" s="187"/>
      <c r="C33" s="202">
        <f t="shared" ref="C33:H33" si="4">C20</f>
        <v>2015</v>
      </c>
      <c r="D33" s="202">
        <f t="shared" si="4"/>
        <v>2016</v>
      </c>
      <c r="E33" s="202">
        <f t="shared" si="4"/>
        <v>2017</v>
      </c>
      <c r="F33" s="202">
        <f t="shared" si="4"/>
        <v>2018</v>
      </c>
      <c r="G33" s="202">
        <f t="shared" si="4"/>
        <v>2019</v>
      </c>
      <c r="H33" s="202">
        <f t="shared" si="4"/>
        <v>2020</v>
      </c>
      <c r="I33" s="187"/>
      <c r="J33" s="203" t="s">
        <v>34</v>
      </c>
      <c r="K33" s="187"/>
      <c r="L33" s="203" t="s">
        <v>35</v>
      </c>
      <c r="M33" s="187"/>
      <c r="N33" s="187"/>
      <c r="O33" s="187"/>
      <c r="P33" s="187"/>
      <c r="Q33" s="187"/>
      <c r="R33" s="187"/>
      <c r="S33" s="187"/>
      <c r="T33" s="187"/>
      <c r="U33" s="187"/>
      <c r="V33" s="187"/>
      <c r="W33" s="187"/>
      <c r="X33" s="187"/>
      <c r="Y33" s="187"/>
      <c r="Z33" s="187"/>
      <c r="AA33" s="187"/>
      <c r="AB33" s="187"/>
      <c r="AC33" s="187"/>
    </row>
    <row r="34" spans="1:29" s="190" customFormat="1" ht="13" x14ac:dyDescent="0.3">
      <c r="A34" s="1032" t="s">
        <v>224</v>
      </c>
      <c r="B34" s="668">
        <f t="shared" ref="B34:B39" si="5">B21</f>
        <v>2015</v>
      </c>
      <c r="C34" s="221"/>
      <c r="D34" s="221"/>
      <c r="E34" s="221"/>
      <c r="F34" s="221"/>
      <c r="G34" s="221"/>
      <c r="H34" s="222"/>
      <c r="I34" s="207"/>
      <c r="J34" s="208">
        <f t="shared" ref="J34:J39" si="6">SUM(C34:H34)</f>
        <v>0</v>
      </c>
      <c r="K34" s="207"/>
      <c r="L34" s="223">
        <f t="shared" ref="L34:L39" si="7">SUM(J21,J34)</f>
        <v>0</v>
      </c>
      <c r="M34" s="187"/>
      <c r="N34" s="187"/>
      <c r="O34" s="187"/>
      <c r="P34" s="187"/>
      <c r="Q34" s="187"/>
      <c r="R34" s="187"/>
      <c r="S34" s="187"/>
      <c r="T34" s="187"/>
      <c r="U34" s="187"/>
      <c r="V34" s="187"/>
      <c r="W34" s="187"/>
      <c r="X34" s="187"/>
      <c r="Y34" s="187"/>
      <c r="Z34" s="187"/>
      <c r="AA34" s="187"/>
      <c r="AB34" s="187"/>
      <c r="AC34" s="187"/>
    </row>
    <row r="35" spans="1:29" s="190" customFormat="1" ht="13" x14ac:dyDescent="0.3">
      <c r="A35" s="1033"/>
      <c r="B35" s="220">
        <f t="shared" si="5"/>
        <v>2016</v>
      </c>
      <c r="C35" s="221"/>
      <c r="D35" s="221"/>
      <c r="E35" s="221"/>
      <c r="F35" s="221"/>
      <c r="G35" s="221"/>
      <c r="H35" s="224"/>
      <c r="I35" s="207"/>
      <c r="J35" s="208">
        <f t="shared" si="6"/>
        <v>0</v>
      </c>
      <c r="K35" s="207"/>
      <c r="L35" s="223">
        <f t="shared" si="7"/>
        <v>0</v>
      </c>
      <c r="M35" s="187"/>
      <c r="N35" s="187"/>
      <c r="O35" s="187"/>
      <c r="P35" s="187"/>
      <c r="Q35" s="187"/>
      <c r="R35" s="187"/>
      <c r="S35" s="187"/>
      <c r="T35" s="187"/>
      <c r="U35" s="187"/>
      <c r="V35" s="187"/>
      <c r="W35" s="187"/>
      <c r="X35" s="187"/>
      <c r="Y35" s="187"/>
      <c r="Z35" s="187"/>
      <c r="AA35" s="187"/>
      <c r="AB35" s="187"/>
      <c r="AC35" s="187"/>
    </row>
    <row r="36" spans="1:29" s="190" customFormat="1" ht="13" x14ac:dyDescent="0.3">
      <c r="A36" s="1033" t="s">
        <v>36</v>
      </c>
      <c r="B36" s="220">
        <f t="shared" si="5"/>
        <v>2017</v>
      </c>
      <c r="C36" s="470">
        <f>I62</f>
        <v>0</v>
      </c>
      <c r="D36" s="221"/>
      <c r="E36" s="221"/>
      <c r="F36" s="221"/>
      <c r="G36" s="221"/>
      <c r="H36" s="224"/>
      <c r="I36" s="207"/>
      <c r="J36" s="208">
        <f t="shared" si="6"/>
        <v>0</v>
      </c>
      <c r="K36" s="207"/>
      <c r="L36" s="223">
        <f t="shared" si="7"/>
        <v>0</v>
      </c>
      <c r="M36" s="187"/>
      <c r="N36" s="187"/>
      <c r="O36" s="187"/>
      <c r="P36" s="187"/>
      <c r="Q36" s="187"/>
      <c r="R36" s="187"/>
      <c r="S36" s="187"/>
      <c r="T36" s="187"/>
      <c r="U36" s="187"/>
      <c r="V36" s="187"/>
      <c r="W36" s="187"/>
      <c r="X36" s="187"/>
      <c r="Y36" s="187"/>
      <c r="Z36" s="187"/>
      <c r="AA36" s="187"/>
      <c r="AB36" s="187"/>
      <c r="AC36" s="187"/>
    </row>
    <row r="37" spans="1:29" s="190" customFormat="1" ht="13" x14ac:dyDescent="0.3">
      <c r="A37" s="1033"/>
      <c r="B37" s="220">
        <f t="shared" si="5"/>
        <v>2018</v>
      </c>
      <c r="C37" s="470">
        <f>K67</f>
        <v>0</v>
      </c>
      <c r="D37" s="470">
        <f>K68</f>
        <v>0</v>
      </c>
      <c r="E37" s="221"/>
      <c r="F37" s="221"/>
      <c r="G37" s="221"/>
      <c r="H37" s="224"/>
      <c r="I37" s="207"/>
      <c r="J37" s="208">
        <f t="shared" si="6"/>
        <v>0</v>
      </c>
      <c r="K37" s="207"/>
      <c r="L37" s="223">
        <f t="shared" si="7"/>
        <v>0</v>
      </c>
      <c r="M37" s="197" t="s">
        <v>38</v>
      </c>
      <c r="N37" s="187"/>
      <c r="O37" s="187"/>
      <c r="P37" s="187"/>
      <c r="Q37" s="187"/>
      <c r="R37" s="187"/>
      <c r="S37" s="187"/>
      <c r="T37" s="187"/>
      <c r="U37" s="187"/>
      <c r="V37" s="187"/>
      <c r="W37" s="187"/>
      <c r="X37" s="187"/>
      <c r="Y37" s="187"/>
      <c r="Z37" s="187"/>
      <c r="AA37" s="187"/>
      <c r="AB37" s="187"/>
      <c r="AC37" s="187"/>
    </row>
    <row r="38" spans="1:29" s="190" customFormat="1" ht="13" x14ac:dyDescent="0.3">
      <c r="A38" s="1033" t="s">
        <v>37</v>
      </c>
      <c r="B38" s="220">
        <f t="shared" si="5"/>
        <v>2019</v>
      </c>
      <c r="C38" s="470">
        <f>K74</f>
        <v>0</v>
      </c>
      <c r="D38" s="470">
        <f>K75</f>
        <v>0</v>
      </c>
      <c r="E38" s="470">
        <f>K76</f>
        <v>0</v>
      </c>
      <c r="F38" s="221"/>
      <c r="G38" s="221"/>
      <c r="H38" s="224"/>
      <c r="I38" s="207"/>
      <c r="J38" s="208">
        <f t="shared" si="6"/>
        <v>0</v>
      </c>
      <c r="K38" s="207"/>
      <c r="L38" s="223">
        <f t="shared" si="7"/>
        <v>0</v>
      </c>
      <c r="M38" s="197" t="s">
        <v>39</v>
      </c>
      <c r="N38" s="187"/>
      <c r="O38" s="187"/>
      <c r="P38" s="187"/>
      <c r="Q38" s="187"/>
      <c r="R38" s="187"/>
      <c r="S38" s="187"/>
      <c r="T38" s="187"/>
      <c r="U38" s="187"/>
      <c r="V38" s="187"/>
      <c r="W38" s="187"/>
      <c r="X38" s="187"/>
      <c r="Y38" s="187"/>
      <c r="Z38" s="187"/>
      <c r="AA38" s="187"/>
      <c r="AB38" s="187"/>
      <c r="AC38" s="187"/>
    </row>
    <row r="39" spans="1:29" s="190" customFormat="1" ht="13" x14ac:dyDescent="0.3">
      <c r="A39" s="1033"/>
      <c r="B39" s="220">
        <f t="shared" si="5"/>
        <v>2020</v>
      </c>
      <c r="C39" s="470">
        <f>K82</f>
        <v>0</v>
      </c>
      <c r="D39" s="470">
        <f>K83</f>
        <v>0</v>
      </c>
      <c r="E39" s="470">
        <f>K84</f>
        <v>0</v>
      </c>
      <c r="F39" s="470">
        <f>K85</f>
        <v>0</v>
      </c>
      <c r="G39" s="221"/>
      <c r="H39" s="224"/>
      <c r="I39" s="207"/>
      <c r="J39" s="208">
        <f t="shared" si="6"/>
        <v>0</v>
      </c>
      <c r="K39" s="207"/>
      <c r="L39" s="223">
        <f t="shared" si="7"/>
        <v>0</v>
      </c>
      <c r="M39" s="197"/>
      <c r="N39" s="187"/>
      <c r="O39" s="187"/>
      <c r="P39" s="187"/>
      <c r="Q39" s="187"/>
      <c r="R39" s="187"/>
      <c r="S39" s="187"/>
      <c r="T39" s="187"/>
      <c r="U39" s="187"/>
      <c r="V39" s="187"/>
      <c r="W39" s="187"/>
      <c r="X39" s="187"/>
      <c r="Y39" s="187"/>
      <c r="Z39" s="187"/>
      <c r="AA39" s="187"/>
      <c r="AB39" s="187"/>
      <c r="AC39" s="187"/>
    </row>
    <row r="40" spans="1:29" s="199" customFormat="1" ht="15.5" x14ac:dyDescent="0.35">
      <c r="A40" s="1034"/>
      <c r="B40" s="212" t="s">
        <v>33</v>
      </c>
      <c r="C40" s="225">
        <f t="shared" ref="C40:H40" si="8">SUM(C34:C39)</f>
        <v>0</v>
      </c>
      <c r="D40" s="225">
        <f t="shared" si="8"/>
        <v>0</v>
      </c>
      <c r="E40" s="225">
        <f t="shared" si="8"/>
        <v>0</v>
      </c>
      <c r="F40" s="225">
        <f>SUM(F34:F39)</f>
        <v>0</v>
      </c>
      <c r="G40" s="225">
        <f t="shared" si="8"/>
        <v>0</v>
      </c>
      <c r="H40" s="225">
        <f t="shared" si="8"/>
        <v>0</v>
      </c>
      <c r="I40" s="207"/>
      <c r="J40" s="216">
        <f>SUM(J34:J39)</f>
        <v>0</v>
      </c>
      <c r="K40" s="215"/>
      <c r="L40" s="216">
        <f>SUM(L34:L39)</f>
        <v>0</v>
      </c>
      <c r="M40" s="198"/>
      <c r="N40" s="198"/>
      <c r="O40" s="198"/>
      <c r="P40" s="198"/>
      <c r="Q40" s="198"/>
      <c r="R40" s="198"/>
      <c r="S40" s="198"/>
      <c r="T40" s="198"/>
      <c r="U40" s="198"/>
      <c r="V40" s="198"/>
      <c r="W40" s="198"/>
      <c r="X40" s="198"/>
      <c r="Y40" s="198"/>
      <c r="Z40" s="198"/>
      <c r="AA40" s="198"/>
      <c r="AB40" s="198"/>
      <c r="AC40" s="198"/>
    </row>
    <row r="41" spans="1:29" x14ac:dyDescent="0.25">
      <c r="I41" s="207"/>
    </row>
    <row r="42" spans="1:29" ht="13" thickBot="1" x14ac:dyDescent="0.3"/>
    <row r="43" spans="1:29" s="190" customFormat="1" ht="22.5" customHeight="1" thickBot="1" x14ac:dyDescent="0.3">
      <c r="A43" s="1037" t="s">
        <v>368</v>
      </c>
      <c r="B43" s="1038"/>
      <c r="C43" s="1038"/>
      <c r="D43" s="1038"/>
      <c r="E43" s="1038"/>
      <c r="F43" s="1038"/>
      <c r="G43" s="1038"/>
      <c r="H43" s="1038"/>
      <c r="I43" s="1038"/>
      <c r="J43" s="1039"/>
      <c r="L43" s="187"/>
      <c r="M43" s="187"/>
      <c r="N43" s="187"/>
      <c r="O43" s="187"/>
      <c r="P43" s="187"/>
      <c r="Q43" s="187"/>
      <c r="R43" s="187"/>
      <c r="S43" s="187"/>
      <c r="T43" s="187"/>
      <c r="U43" s="187"/>
      <c r="V43" s="187"/>
      <c r="W43" s="187"/>
      <c r="X43" s="187"/>
      <c r="Y43" s="187"/>
      <c r="Z43" s="187"/>
      <c r="AA43" s="187"/>
      <c r="AB43" s="187"/>
      <c r="AC43" s="187"/>
    </row>
    <row r="45" spans="1:29" ht="13" x14ac:dyDescent="0.3">
      <c r="C45" s="194" t="s">
        <v>342</v>
      </c>
    </row>
    <row r="46" spans="1:29" ht="13" x14ac:dyDescent="0.3">
      <c r="C46" s="194" t="s">
        <v>42</v>
      </c>
    </row>
    <row r="47" spans="1:29" ht="16.5" x14ac:dyDescent="0.35">
      <c r="C47" s="1023" t="s">
        <v>41</v>
      </c>
      <c r="D47" s="1024"/>
      <c r="E47" s="1024"/>
      <c r="F47" s="1024"/>
      <c r="G47" s="1024"/>
      <c r="H47" s="1025"/>
    </row>
    <row r="48" spans="1:29" x14ac:dyDescent="0.25">
      <c r="C48" s="202">
        <f t="shared" ref="C48:H48" si="9">C33</f>
        <v>2015</v>
      </c>
      <c r="D48" s="202">
        <f t="shared" si="9"/>
        <v>2016</v>
      </c>
      <c r="E48" s="202">
        <f t="shared" si="9"/>
        <v>2017</v>
      </c>
      <c r="F48" s="202">
        <f t="shared" si="9"/>
        <v>2018</v>
      </c>
      <c r="G48" s="202">
        <f t="shared" si="9"/>
        <v>2019</v>
      </c>
      <c r="H48" s="202">
        <f t="shared" si="9"/>
        <v>2020</v>
      </c>
      <c r="J48" s="226" t="s">
        <v>31</v>
      </c>
    </row>
    <row r="49" spans="1:29" x14ac:dyDescent="0.25">
      <c r="A49" s="1026" t="s">
        <v>295</v>
      </c>
      <c r="B49" s="674">
        <f t="shared" ref="B49:B54" si="10">B34</f>
        <v>2015</v>
      </c>
      <c r="C49" s="470">
        <f>+C21</f>
        <v>0</v>
      </c>
      <c r="D49" s="227"/>
      <c r="E49" s="221"/>
      <c r="F49" s="221"/>
      <c r="G49" s="221"/>
      <c r="H49" s="222"/>
      <c r="J49" s="228">
        <f t="shared" ref="J49:J54" si="11">SUM(C49:H49)</f>
        <v>0</v>
      </c>
    </row>
    <row r="50" spans="1:29" x14ac:dyDescent="0.25">
      <c r="A50" s="1027"/>
      <c r="B50" s="202">
        <f t="shared" si="10"/>
        <v>2016</v>
      </c>
      <c r="C50" s="470">
        <f>+C49+C35+C22</f>
        <v>0</v>
      </c>
      <c r="D50" s="470">
        <f>+D22</f>
        <v>0</v>
      </c>
      <c r="E50" s="229"/>
      <c r="F50" s="229"/>
      <c r="G50" s="229"/>
      <c r="H50" s="230"/>
      <c r="J50" s="228">
        <f t="shared" si="11"/>
        <v>0</v>
      </c>
    </row>
    <row r="51" spans="1:29" x14ac:dyDescent="0.25">
      <c r="A51" s="1027"/>
      <c r="B51" s="202">
        <f t="shared" si="10"/>
        <v>2017</v>
      </c>
      <c r="C51" s="470">
        <f>+C50+C36+C23</f>
        <v>0</v>
      </c>
      <c r="D51" s="470">
        <f>+D50+D36+D23</f>
        <v>0</v>
      </c>
      <c r="E51" s="470">
        <f>+E23</f>
        <v>0</v>
      </c>
      <c r="F51" s="229"/>
      <c r="G51" s="229"/>
      <c r="H51" s="230"/>
      <c r="J51" s="228">
        <f t="shared" si="11"/>
        <v>0</v>
      </c>
    </row>
    <row r="52" spans="1:29" x14ac:dyDescent="0.25">
      <c r="A52" s="1027"/>
      <c r="B52" s="202">
        <f t="shared" si="10"/>
        <v>2018</v>
      </c>
      <c r="C52" s="470">
        <f>+C51+C37+C24</f>
        <v>0</v>
      </c>
      <c r="D52" s="470">
        <f>+D51+D37+D24</f>
        <v>0</v>
      </c>
      <c r="E52" s="470">
        <f>+E51+E37+E24</f>
        <v>0</v>
      </c>
      <c r="F52" s="470">
        <f>+F24</f>
        <v>0</v>
      </c>
      <c r="G52" s="229"/>
      <c r="H52" s="230"/>
      <c r="J52" s="228">
        <f t="shared" si="11"/>
        <v>0</v>
      </c>
    </row>
    <row r="53" spans="1:29" x14ac:dyDescent="0.25">
      <c r="A53" s="1027"/>
      <c r="B53" s="202">
        <f t="shared" si="10"/>
        <v>2019</v>
      </c>
      <c r="C53" s="470">
        <f>+C52+C38+C25</f>
        <v>0</v>
      </c>
      <c r="D53" s="470">
        <f>+D52+D38+D25</f>
        <v>0</v>
      </c>
      <c r="E53" s="470">
        <f>+E52+E38+E25</f>
        <v>0</v>
      </c>
      <c r="F53" s="470">
        <f>+F52+F38+F25</f>
        <v>0</v>
      </c>
      <c r="G53" s="470">
        <f>+G25</f>
        <v>0</v>
      </c>
      <c r="H53" s="230"/>
      <c r="J53" s="228">
        <f t="shared" si="11"/>
        <v>0</v>
      </c>
    </row>
    <row r="54" spans="1:29" x14ac:dyDescent="0.25">
      <c r="A54" s="1028"/>
      <c r="B54" s="202">
        <f t="shared" si="10"/>
        <v>2020</v>
      </c>
      <c r="C54" s="470">
        <f>+C53+C39+C26</f>
        <v>0</v>
      </c>
      <c r="D54" s="470">
        <f>+D53+D39+D26</f>
        <v>0</v>
      </c>
      <c r="E54" s="470">
        <f>+E53+E39+E26</f>
        <v>0</v>
      </c>
      <c r="F54" s="470">
        <f>+F53+F39+F26</f>
        <v>0</v>
      </c>
      <c r="G54" s="470">
        <f>+G53+G39+G26</f>
        <v>0</v>
      </c>
      <c r="H54" s="470">
        <f>+H26</f>
        <v>0</v>
      </c>
      <c r="J54" s="228">
        <f t="shared" si="11"/>
        <v>0</v>
      </c>
    </row>
    <row r="55" spans="1:29" ht="13" x14ac:dyDescent="0.3">
      <c r="C55" s="194"/>
    </row>
    <row r="56" spans="1:29" ht="13.5" thickBot="1" x14ac:dyDescent="0.35">
      <c r="C56" s="194"/>
    </row>
    <row r="57" spans="1:29" s="190" customFormat="1" ht="22.5" customHeight="1" thickBot="1" x14ac:dyDescent="0.3">
      <c r="A57" s="1037" t="s">
        <v>369</v>
      </c>
      <c r="B57" s="1038"/>
      <c r="C57" s="1038"/>
      <c r="D57" s="1038"/>
      <c r="E57" s="1038"/>
      <c r="F57" s="1038"/>
      <c r="G57" s="1038"/>
      <c r="H57" s="1038"/>
      <c r="I57" s="1038"/>
      <c r="J57" s="1039"/>
      <c r="L57" s="187"/>
      <c r="M57" s="187"/>
      <c r="N57" s="187"/>
      <c r="O57" s="187"/>
      <c r="P57" s="187"/>
      <c r="Q57" s="187"/>
      <c r="R57" s="187"/>
      <c r="S57" s="187"/>
      <c r="T57" s="187"/>
      <c r="U57" s="187"/>
      <c r="V57" s="187"/>
      <c r="W57" s="187"/>
      <c r="X57" s="187"/>
      <c r="Y57" s="187"/>
      <c r="Z57" s="187"/>
      <c r="AA57" s="187"/>
      <c r="AB57" s="187"/>
      <c r="AC57" s="187"/>
    </row>
    <row r="58" spans="1:29" x14ac:dyDescent="0.25">
      <c r="A58" s="20"/>
      <c r="B58" s="20"/>
      <c r="C58" s="20"/>
      <c r="D58" s="20"/>
      <c r="E58" s="20"/>
      <c r="F58" s="20"/>
      <c r="G58" s="20"/>
      <c r="H58" s="20"/>
      <c r="I58" s="20"/>
      <c r="J58" s="20"/>
      <c r="K58" s="20"/>
      <c r="L58" s="610"/>
      <c r="M58" s="20"/>
    </row>
    <row r="59" spans="1:29" ht="13" x14ac:dyDescent="0.3">
      <c r="A59" s="18" t="s">
        <v>362</v>
      </c>
      <c r="B59" s="20"/>
      <c r="C59" s="20"/>
      <c r="D59" s="20"/>
      <c r="E59" s="895">
        <v>2017</v>
      </c>
      <c r="F59" s="20"/>
      <c r="G59" s="20"/>
      <c r="H59" s="20"/>
      <c r="I59" s="20"/>
      <c r="J59" s="20"/>
      <c r="K59" s="20"/>
      <c r="L59" s="610"/>
      <c r="M59" s="20"/>
    </row>
    <row r="60" spans="1:29" x14ac:dyDescent="0.25">
      <c r="A60" s="20"/>
      <c r="B60" s="20"/>
      <c r="C60" s="20"/>
      <c r="D60" s="20"/>
      <c r="E60" s="20"/>
      <c r="F60" s="20"/>
      <c r="G60" s="20"/>
      <c r="H60" s="20"/>
      <c r="I60" s="20"/>
      <c r="J60" s="20"/>
      <c r="K60" s="610"/>
      <c r="L60" s="20"/>
      <c r="M60" s="20"/>
    </row>
    <row r="61" spans="1:29" ht="102" customHeight="1" x14ac:dyDescent="0.25">
      <c r="A61" s="1060" t="s">
        <v>363</v>
      </c>
      <c r="B61" s="1061"/>
      <c r="C61" s="1061"/>
      <c r="D61" s="1062"/>
      <c r="E61" s="599"/>
      <c r="F61" s="675" t="str">
        <f>"Nog af te bouwen regulatoir saldo einde "&amp;E59-1</f>
        <v>Nog af te bouwen regulatoir saldo einde 2016</v>
      </c>
      <c r="G61" s="675" t="str">
        <f>"Afbouw oudste openstaande regulatoir saldo vanaf boekjaar "&amp;E59-3&amp;" en vroeger, door aanwending van compensatie met regulatoir saldo ontstaan over boekjaar "&amp;E59-2</f>
        <v>Afbouw oudste openstaande regulatoir saldo vanaf boekjaar 2014 en vroeger, door aanwending van compensatie met regulatoir saldo ontstaan over boekjaar 2015</v>
      </c>
      <c r="H61" s="675" t="str">
        <f>"Nog af te bouwen regulatoir saldo na compensatie einde "&amp;E59-1</f>
        <v>Nog af te bouwen regulatoir saldo na compensatie einde 2016</v>
      </c>
      <c r="I61" s="675" t="str">
        <f>"Aanwending van 60% van het geaccumuleerd regulatoir saldo door te rekenen volgens de tariefmethodologie in het boekjaar "&amp;E59</f>
        <v>Aanwending van 60% van het geaccumuleerd regulatoir saldo door te rekenen volgens de tariefmethodologie in het boekjaar 2017</v>
      </c>
      <c r="J61" s="675" t="str">
        <f>"Nog af te bouwen regulatoir saldo einde "&amp;E59</f>
        <v>Nog af te bouwen regulatoir saldo einde 2017</v>
      </c>
      <c r="K61" s="610"/>
      <c r="L61" s="20"/>
      <c r="M61" s="20"/>
    </row>
    <row r="62" spans="1:29" ht="13" x14ac:dyDescent="0.25">
      <c r="A62" s="1057">
        <v>2015</v>
      </c>
      <c r="B62" s="1058"/>
      <c r="C62" s="1058"/>
      <c r="D62" s="1059"/>
      <c r="E62" s="896"/>
      <c r="F62" s="839">
        <f>C21+C22</f>
        <v>0</v>
      </c>
      <c r="G62" s="897">
        <v>0</v>
      </c>
      <c r="H62" s="839">
        <f>+F62+G62</f>
        <v>0</v>
      </c>
      <c r="I62" s="839">
        <f>-H62*0.6</f>
        <v>0</v>
      </c>
      <c r="J62" s="908">
        <f>+I62+F62</f>
        <v>0</v>
      </c>
      <c r="K62" s="610"/>
      <c r="L62" s="20"/>
      <c r="M62" s="20"/>
    </row>
    <row r="63" spans="1:29" x14ac:dyDescent="0.25">
      <c r="A63" s="20"/>
      <c r="B63" s="20"/>
      <c r="C63" s="20"/>
      <c r="D63" s="20"/>
      <c r="E63" s="20"/>
      <c r="F63" s="20"/>
      <c r="G63" s="20"/>
      <c r="H63" s="20"/>
      <c r="I63" s="20"/>
      <c r="J63" s="20"/>
      <c r="K63" s="610"/>
      <c r="L63" s="20"/>
      <c r="M63" s="20"/>
    </row>
    <row r="64" spans="1:29" ht="13" x14ac:dyDescent="0.3">
      <c r="A64" s="18" t="s">
        <v>362</v>
      </c>
      <c r="B64" s="20"/>
      <c r="C64" s="20"/>
      <c r="D64" s="20"/>
      <c r="E64" s="895">
        <v>2018</v>
      </c>
      <c r="F64" s="20"/>
      <c r="G64" s="20"/>
      <c r="H64" s="20"/>
      <c r="I64" s="20"/>
      <c r="J64" s="20"/>
      <c r="K64" s="20"/>
      <c r="L64" s="610"/>
      <c r="M64" s="20"/>
    </row>
    <row r="65" spans="1:13" x14ac:dyDescent="0.25">
      <c r="A65" s="20"/>
      <c r="B65" s="20"/>
      <c r="C65" s="20"/>
      <c r="D65" s="20"/>
      <c r="E65" s="20"/>
      <c r="F65" s="20"/>
      <c r="G65" s="20"/>
      <c r="H65" s="20"/>
      <c r="I65" s="20"/>
      <c r="J65" s="20"/>
      <c r="K65" s="20"/>
      <c r="L65" s="610"/>
      <c r="M65" s="20"/>
    </row>
    <row r="66" spans="1:13" ht="109.5" customHeight="1" x14ac:dyDescent="0.25">
      <c r="A66" s="1060" t="s">
        <v>363</v>
      </c>
      <c r="B66" s="1061"/>
      <c r="C66" s="1061"/>
      <c r="D66" s="1062"/>
      <c r="E66" s="599"/>
      <c r="F66" s="675" t="str">
        <f>"Nog af te bouwen regulatoir saldo einde "&amp;E64-1</f>
        <v>Nog af te bouwen regulatoir saldo einde 2017</v>
      </c>
      <c r="G66" s="675" t="str">
        <f>"Afbouw oudste openstaande regulatoir saldo vanaf boekjaar "&amp;E64-3&amp;" en vroeger, door aanwending van compensatie met regulatoir saldo ontstaan over boekjaar "&amp;E64-2</f>
        <v>Afbouw oudste openstaande regulatoir saldo vanaf boekjaar 2015 en vroeger, door aanwending van compensatie met regulatoir saldo ontstaan over boekjaar 2016</v>
      </c>
      <c r="H66" s="675" t="str">
        <f>"Nog af te bouwen regulatoir saldo na compensatie einde "&amp;E64-1</f>
        <v>Nog af te bouwen regulatoir saldo na compensatie einde 2017</v>
      </c>
      <c r="I66" s="675" t="str">
        <f>"60% van het geaccumuleerd regulatoir saldo door te rekenen volgens de tariefmethodologie in het boekjaar "&amp;E64</f>
        <v>60% van het geaccumuleerd regulatoir saldo door te rekenen volgens de tariefmethodologie in het boekjaar 2018</v>
      </c>
      <c r="J66" s="675" t="str">
        <f>"Aanwending van 60% van het geaccumuleerd regulatoir saldo door te rekenen volgens de tariefmethodologie in het boekjaar "&amp;E64</f>
        <v>Aanwending van 60% van het geaccumuleerd regulatoir saldo door te rekenen volgens de tariefmethodologie in het boekjaar 2018</v>
      </c>
      <c r="K66" s="675" t="str">
        <f>"Totale afbouw over "&amp;E64</f>
        <v>Totale afbouw over 2018</v>
      </c>
      <c r="L66" s="20"/>
      <c r="M66" s="675" t="str">
        <f>"Nog af te bouwen regulatoir saldo einde "&amp;E64</f>
        <v>Nog af te bouwen regulatoir saldo einde 2018</v>
      </c>
    </row>
    <row r="67" spans="1:13" ht="13" x14ac:dyDescent="0.25">
      <c r="A67" s="1057">
        <v>2015</v>
      </c>
      <c r="B67" s="1058"/>
      <c r="C67" s="1058"/>
      <c r="D67" s="1059"/>
      <c r="E67" s="896"/>
      <c r="F67" s="839">
        <f>J62</f>
        <v>0</v>
      </c>
      <c r="G67" s="897">
        <f>IF(SIGN(F68*J62)&lt;0,IF(F67&lt;&gt;0,-SIGN(F67)*MIN(ABS(F68),ABS(F67)),0),0)</f>
        <v>0</v>
      </c>
      <c r="H67" s="839">
        <f>+F67+G67</f>
        <v>0</v>
      </c>
      <c r="I67" s="698"/>
      <c r="J67" s="897">
        <f>-MIN(ABS(H67),ABS(I69))*SIGN(H67)</f>
        <v>0</v>
      </c>
      <c r="K67" s="898">
        <f>+J67+G67</f>
        <v>0</v>
      </c>
      <c r="L67" s="20"/>
      <c r="M67" s="839">
        <f>+H67+J67</f>
        <v>0</v>
      </c>
    </row>
    <row r="68" spans="1:13" ht="13" x14ac:dyDescent="0.25">
      <c r="A68" s="1057">
        <v>2016</v>
      </c>
      <c r="B68" s="1058"/>
      <c r="C68" s="1058"/>
      <c r="D68" s="1059"/>
      <c r="E68" s="896"/>
      <c r="F68" s="839">
        <f>D22+D23</f>
        <v>0</v>
      </c>
      <c r="G68" s="898">
        <f>IF(SIGN(F68*J62)&lt;0,-G67,0)</f>
        <v>0</v>
      </c>
      <c r="H68" s="839">
        <f>+F68+G68</f>
        <v>0</v>
      </c>
      <c r="I68" s="698"/>
      <c r="J68" s="897">
        <f>-MIN(ABS(H68),ABS(I69-J67))*SIGN(H68)</f>
        <v>0</v>
      </c>
      <c r="K68" s="898">
        <f>+J68+G68</f>
        <v>0</v>
      </c>
      <c r="L68" s="20"/>
      <c r="M68" s="839">
        <f>+H68+J68</f>
        <v>0</v>
      </c>
    </row>
    <row r="69" spans="1:13" ht="13" x14ac:dyDescent="0.3">
      <c r="A69" s="18"/>
      <c r="B69" s="18"/>
      <c r="C69" s="18"/>
      <c r="D69" s="18"/>
      <c r="E69" s="18"/>
      <c r="F69" s="899">
        <f>SUM(F67:F68)</f>
        <v>0</v>
      </c>
      <c r="G69" s="899">
        <f>SUM(G67:G68)</f>
        <v>0</v>
      </c>
      <c r="H69" s="899">
        <f>SUM(H67:H68)</f>
        <v>0</v>
      </c>
      <c r="I69" s="899">
        <f>-H69*0.6</f>
        <v>0</v>
      </c>
      <c r="J69" s="900">
        <f>SUM(J67:J68)</f>
        <v>0</v>
      </c>
      <c r="K69" s="901"/>
      <c r="L69" s="18"/>
      <c r="M69" s="899">
        <f>SUM(M67:M68)</f>
        <v>0</v>
      </c>
    </row>
    <row r="70" spans="1:13" x14ac:dyDescent="0.25">
      <c r="A70" s="20"/>
      <c r="B70" s="20"/>
      <c r="C70" s="20"/>
      <c r="D70" s="20"/>
      <c r="E70" s="20"/>
      <c r="F70" s="20"/>
      <c r="G70" s="20"/>
      <c r="H70" s="20"/>
      <c r="I70" s="20"/>
      <c r="J70" s="20"/>
      <c r="K70" s="20"/>
      <c r="L70" s="610"/>
      <c r="M70" s="20"/>
    </row>
    <row r="71" spans="1:13" ht="13" x14ac:dyDescent="0.3">
      <c r="A71" s="18" t="s">
        <v>362</v>
      </c>
      <c r="B71" s="20"/>
      <c r="C71" s="20"/>
      <c r="D71" s="20"/>
      <c r="E71" s="895">
        <v>2019</v>
      </c>
      <c r="F71" s="20"/>
      <c r="G71" s="20"/>
      <c r="H71" s="20"/>
      <c r="I71" s="20"/>
      <c r="J71" s="20"/>
      <c r="K71" s="20"/>
      <c r="L71" s="20"/>
      <c r="M71" s="20"/>
    </row>
    <row r="72" spans="1:13" x14ac:dyDescent="0.25">
      <c r="A72" s="20"/>
      <c r="B72" s="20"/>
      <c r="C72" s="20"/>
      <c r="D72" s="20"/>
      <c r="E72" s="20"/>
      <c r="F72" s="20"/>
      <c r="G72" s="20"/>
      <c r="H72" s="20"/>
      <c r="I72" s="20"/>
      <c r="J72" s="20"/>
      <c r="K72" s="20"/>
      <c r="L72" s="20"/>
      <c r="M72" s="20"/>
    </row>
    <row r="73" spans="1:13" ht="90.75" customHeight="1" x14ac:dyDescent="0.25">
      <c r="A73" s="1060" t="s">
        <v>363</v>
      </c>
      <c r="B73" s="1061"/>
      <c r="C73" s="1061"/>
      <c r="D73" s="1062"/>
      <c r="E73" s="599"/>
      <c r="F73" s="675" t="str">
        <f>"Nog af te bouwen regulatoir saldo einde "&amp;E71-1</f>
        <v>Nog af te bouwen regulatoir saldo einde 2018</v>
      </c>
      <c r="G73" s="675" t="str">
        <f>"Afbouw oudste openstaande regulatoir saldo vanaf boekjaar "&amp;E71-3&amp;" en vroeger, door aanwending van compensatie met regulatoir saldo ontstaan over boekjaar "&amp;E71-2</f>
        <v>Afbouw oudste openstaande regulatoir saldo vanaf boekjaar 2016 en vroeger, door aanwending van compensatie met regulatoir saldo ontstaan over boekjaar 2017</v>
      </c>
      <c r="H73" s="675" t="str">
        <f>"Nog af te bouwen regulatoir saldo na compensatie einde "&amp;E71-1</f>
        <v>Nog af te bouwen regulatoir saldo na compensatie einde 2018</v>
      </c>
      <c r="I73" s="675" t="str">
        <f>"60% van het geaccumuleerd regulatoir saldo door te rekenen volgens de tariefmethodologie in het boekjaar "&amp;E71</f>
        <v>60% van het geaccumuleerd regulatoir saldo door te rekenen volgens de tariefmethodologie in het boekjaar 2019</v>
      </c>
      <c r="J73" s="675" t="str">
        <f>"Aanwending van het 60% van het geaccumuleerd regulatoir saldo door te rekenen volgens de tariefmethodologie in het boekjaar "&amp;E71</f>
        <v>Aanwending van het 60% van het geaccumuleerd regulatoir saldo door te rekenen volgens de tariefmethodologie in het boekjaar 2019</v>
      </c>
      <c r="K73" s="675" t="str">
        <f>"Totale afbouw over "&amp;E71</f>
        <v>Totale afbouw over 2019</v>
      </c>
      <c r="L73" s="20"/>
      <c r="M73" s="675" t="str">
        <f>"Nog af te bouwen regulatoir saldo einde "&amp;E71</f>
        <v>Nog af te bouwen regulatoir saldo einde 2019</v>
      </c>
    </row>
    <row r="74" spans="1:13" ht="13" x14ac:dyDescent="0.25">
      <c r="A74" s="1057">
        <v>2015</v>
      </c>
      <c r="B74" s="1058"/>
      <c r="C74" s="1058"/>
      <c r="D74" s="1059"/>
      <c r="E74" s="896"/>
      <c r="F74" s="839">
        <f>+M67</f>
        <v>0</v>
      </c>
      <c r="G74" s="898">
        <f>IF(SIGN(F76*M69)&lt;0,IF(F74&lt;&gt;0,-SIGN(F74)*MIN(ABS(F76),ABS(F74)),0),0)</f>
        <v>0</v>
      </c>
      <c r="H74" s="839">
        <f>+F74+G74</f>
        <v>0</v>
      </c>
      <c r="I74" s="698"/>
      <c r="J74" s="897">
        <f>-MIN(ABS(H74),ABS(I77))*SIGN(H74)</f>
        <v>0</v>
      </c>
      <c r="K74" s="898">
        <f>+J74+G74</f>
        <v>0</v>
      </c>
      <c r="L74" s="20"/>
      <c r="M74" s="839">
        <f>+H74+J74</f>
        <v>0</v>
      </c>
    </row>
    <row r="75" spans="1:13" ht="13" x14ac:dyDescent="0.25">
      <c r="A75" s="1057">
        <v>2016</v>
      </c>
      <c r="B75" s="1058"/>
      <c r="C75" s="1058">
        <v>2016</v>
      </c>
      <c r="D75" s="1059"/>
      <c r="E75" s="896"/>
      <c r="F75" s="839">
        <f>+M68</f>
        <v>0</v>
      </c>
      <c r="G75" s="898">
        <f>IF(SIGN(F76*M69)&lt;0,IF(F75&lt;&gt;0,-SIGN(F75)*MIN(ABS(F76-G74),ABS(F75)),0),0)</f>
        <v>0</v>
      </c>
      <c r="H75" s="839">
        <f>+F75+G75</f>
        <v>0</v>
      </c>
      <c r="I75" s="698"/>
      <c r="J75" s="897">
        <f>-MIN(ABS(H75),ABS(I77-J74))*SIGN(H75)</f>
        <v>0</v>
      </c>
      <c r="K75" s="898">
        <f>+J75+G75</f>
        <v>0</v>
      </c>
      <c r="L75" s="20"/>
      <c r="M75" s="839">
        <f>+H75+J75</f>
        <v>0</v>
      </c>
    </row>
    <row r="76" spans="1:13" ht="13" x14ac:dyDescent="0.25">
      <c r="A76" s="1057">
        <v>2017</v>
      </c>
      <c r="B76" s="1058"/>
      <c r="C76" s="1058"/>
      <c r="D76" s="1059"/>
      <c r="E76" s="896"/>
      <c r="F76" s="839">
        <f>E23+E24</f>
        <v>0</v>
      </c>
      <c r="G76" s="898">
        <f>IF(SIGN(F76*M69)&lt;0,-SUM(G74:G75),0)</f>
        <v>0</v>
      </c>
      <c r="H76" s="839">
        <f>+F76+G76</f>
        <v>0</v>
      </c>
      <c r="I76" s="698"/>
      <c r="J76" s="897">
        <f>-MIN(ABS(H76),ABS(I77-J74-J75))*SIGN(H76)</f>
        <v>0</v>
      </c>
      <c r="K76" s="898">
        <f>+J76+G76</f>
        <v>0</v>
      </c>
      <c r="L76" s="20"/>
      <c r="M76" s="839">
        <f>+H76+J76</f>
        <v>0</v>
      </c>
    </row>
    <row r="77" spans="1:13" ht="13" x14ac:dyDescent="0.3">
      <c r="A77" s="18"/>
      <c r="B77" s="18"/>
      <c r="C77" s="18"/>
      <c r="D77" s="18"/>
      <c r="E77" s="18"/>
      <c r="F77" s="899">
        <f>SUM(F74:F76)</f>
        <v>0</v>
      </c>
      <c r="G77" s="899">
        <f>SUM(G74:G76)</f>
        <v>0</v>
      </c>
      <c r="H77" s="899">
        <f>SUM(H74:H76)</f>
        <v>0</v>
      </c>
      <c r="I77" s="899">
        <f>-H77*0.6</f>
        <v>0</v>
      </c>
      <c r="J77" s="900">
        <f>SUM(J74:J76)</f>
        <v>0</v>
      </c>
      <c r="K77" s="901"/>
      <c r="L77" s="18"/>
      <c r="M77" s="899">
        <f>SUM(M74:M76)</f>
        <v>0</v>
      </c>
    </row>
    <row r="78" spans="1:13" x14ac:dyDescent="0.25">
      <c r="A78" s="20"/>
      <c r="B78" s="20"/>
      <c r="C78" s="20"/>
      <c r="D78" s="20"/>
      <c r="E78" s="20"/>
      <c r="F78" s="20"/>
      <c r="G78" s="20"/>
      <c r="H78" s="20"/>
      <c r="I78" s="20"/>
      <c r="J78" s="20"/>
      <c r="K78" s="20"/>
      <c r="L78" s="610"/>
      <c r="M78" s="20"/>
    </row>
    <row r="79" spans="1:13" ht="13" x14ac:dyDescent="0.3">
      <c r="A79" s="18" t="s">
        <v>362</v>
      </c>
      <c r="B79" s="20"/>
      <c r="C79" s="20"/>
      <c r="D79" s="20"/>
      <c r="E79" s="895">
        <v>2020</v>
      </c>
      <c r="F79" s="20"/>
      <c r="G79" s="20"/>
      <c r="H79" s="20"/>
      <c r="I79" s="20"/>
      <c r="J79" s="20"/>
      <c r="K79" s="20"/>
      <c r="L79" s="20"/>
      <c r="M79" s="20"/>
    </row>
    <row r="80" spans="1:13" x14ac:dyDescent="0.25">
      <c r="A80" s="20"/>
      <c r="B80" s="20"/>
      <c r="C80" s="20"/>
      <c r="D80" s="20"/>
      <c r="E80" s="20"/>
      <c r="F80" s="20"/>
      <c r="G80" s="20"/>
      <c r="H80" s="20"/>
      <c r="I80" s="20"/>
      <c r="J80" s="20"/>
      <c r="K80" s="20"/>
      <c r="L80" s="20"/>
      <c r="M80" s="20"/>
    </row>
    <row r="81" spans="1:13" ht="96" customHeight="1" x14ac:dyDescent="0.25">
      <c r="A81" s="1060" t="s">
        <v>363</v>
      </c>
      <c r="B81" s="1061"/>
      <c r="C81" s="1061"/>
      <c r="D81" s="1062"/>
      <c r="E81" s="599"/>
      <c r="F81" s="675" t="str">
        <f>"Nog af te bouwen regulatoir saldo einde "&amp;E79-1</f>
        <v>Nog af te bouwen regulatoir saldo einde 2019</v>
      </c>
      <c r="G81" s="675" t="str">
        <f>"Afbouw oudste openstaande regulatoir saldo vanaf boekjaar "&amp;E79-3&amp;" en vroeger, door aanwending van compensatie met regulatoir saldo ontstaan over boekjaar "&amp;E79-2</f>
        <v>Afbouw oudste openstaande regulatoir saldo vanaf boekjaar 2017 en vroeger, door aanwending van compensatie met regulatoir saldo ontstaan over boekjaar 2018</v>
      </c>
      <c r="H81" s="675" t="str">
        <f>"Nog af te bouwen regulatoir saldo na compensatie einde "&amp;E79-1</f>
        <v>Nog af te bouwen regulatoir saldo na compensatie einde 2019</v>
      </c>
      <c r="I81" s="675" t="str">
        <f>"60% van het geaccumuleerd regulatoir saldo door te rekenen volgens de tariefmethodologie in het boekjaar "&amp;E79</f>
        <v>60% van het geaccumuleerd regulatoir saldo door te rekenen volgens de tariefmethodologie in het boekjaar 2020</v>
      </c>
      <c r="J81" s="675" t="str">
        <f>"Aanwending van het 60% van het geaccumuleerd regulatoir saldo door te rekenen volgens de tariefmethodologie in het boekjaar "&amp;E79</f>
        <v>Aanwending van het 60% van het geaccumuleerd regulatoir saldo door te rekenen volgens de tariefmethodologie in het boekjaar 2020</v>
      </c>
      <c r="K81" s="675" t="str">
        <f>"Totale afbouw over "&amp;E79</f>
        <v>Totale afbouw over 2020</v>
      </c>
      <c r="L81" s="20"/>
      <c r="M81" s="675" t="str">
        <f>"Nog af te bouwen regulatoir saldo einde "&amp;E79</f>
        <v>Nog af te bouwen regulatoir saldo einde 2020</v>
      </c>
    </row>
    <row r="82" spans="1:13" ht="13" x14ac:dyDescent="0.25">
      <c r="A82" s="1057">
        <v>2015</v>
      </c>
      <c r="B82" s="1058"/>
      <c r="C82" s="1058"/>
      <c r="D82" s="1059"/>
      <c r="E82" s="896"/>
      <c r="F82" s="839">
        <f>+M74</f>
        <v>0</v>
      </c>
      <c r="G82" s="898">
        <f>IF(SIGN(F85*M77)&lt;0,IF(F82&lt;&gt;0,-SIGN(F82)*MIN(ABS(F85),ABS(F82)),0),0)</f>
        <v>0</v>
      </c>
      <c r="H82" s="839">
        <f>+F82+G82</f>
        <v>0</v>
      </c>
      <c r="I82" s="698"/>
      <c r="J82" s="897">
        <f>-MIN(ABS(H82),ABS(I86))*SIGN(H82)</f>
        <v>0</v>
      </c>
      <c r="K82" s="898">
        <f>+J82+G82</f>
        <v>0</v>
      </c>
      <c r="L82" s="20"/>
      <c r="M82" s="839">
        <f>+H82+J82</f>
        <v>0</v>
      </c>
    </row>
    <row r="83" spans="1:13" ht="13" x14ac:dyDescent="0.25">
      <c r="A83" s="1057">
        <v>2016</v>
      </c>
      <c r="B83" s="1058"/>
      <c r="C83" s="1058"/>
      <c r="D83" s="1059"/>
      <c r="E83" s="896"/>
      <c r="F83" s="839">
        <f>+M75</f>
        <v>0</v>
      </c>
      <c r="G83" s="898">
        <f>IF(SIGN(F85*M77)&lt;0,IF(F83&lt;&gt;0,-SIGN(F83)*MIN(ABS(F85-G82),ABS(F83)),0),0)</f>
        <v>0</v>
      </c>
      <c r="H83" s="839">
        <f>+F83+G83</f>
        <v>0</v>
      </c>
      <c r="I83" s="698"/>
      <c r="J83" s="897">
        <f>-MIN(ABS(H83),ABS(I86-J82))*SIGN(H83)</f>
        <v>0</v>
      </c>
      <c r="K83" s="898">
        <f>+J83+G83</f>
        <v>0</v>
      </c>
      <c r="L83" s="20"/>
      <c r="M83" s="839">
        <f>+H83+J83</f>
        <v>0</v>
      </c>
    </row>
    <row r="84" spans="1:13" ht="13" x14ac:dyDescent="0.25">
      <c r="A84" s="1057">
        <v>2017</v>
      </c>
      <c r="B84" s="1058"/>
      <c r="C84" s="1058">
        <v>2016</v>
      </c>
      <c r="D84" s="1059"/>
      <c r="E84" s="896"/>
      <c r="F84" s="839">
        <f>+M76</f>
        <v>0</v>
      </c>
      <c r="G84" s="898">
        <f>IF(SIGN(F85*M77)&lt;0,IF(F84&lt;&gt;0,-SIGN(F84)*MIN(ABS(F85-G82-G83),ABS(F84)),0),0)</f>
        <v>0</v>
      </c>
      <c r="H84" s="839">
        <f>+F84+G84</f>
        <v>0</v>
      </c>
      <c r="I84" s="698"/>
      <c r="J84" s="897">
        <f>-MIN(ABS(H84),ABS(I86-J82-J83))*SIGN(H84)</f>
        <v>0</v>
      </c>
      <c r="K84" s="898">
        <f>+J84+G84</f>
        <v>0</v>
      </c>
      <c r="L84" s="20"/>
      <c r="M84" s="839">
        <f>+H84+J84</f>
        <v>0</v>
      </c>
    </row>
    <row r="85" spans="1:13" ht="13" x14ac:dyDescent="0.25">
      <c r="A85" s="1057">
        <v>2018</v>
      </c>
      <c r="B85" s="1058"/>
      <c r="C85" s="1058"/>
      <c r="D85" s="1059"/>
      <c r="E85" s="896"/>
      <c r="F85" s="839">
        <f>F24+F25</f>
        <v>0</v>
      </c>
      <c r="G85" s="898">
        <f>IF(SIGN(F85*M77)&lt;0,-SUM(G82:G84),0)</f>
        <v>0</v>
      </c>
      <c r="H85" s="839">
        <f>+F85+G85</f>
        <v>0</v>
      </c>
      <c r="I85" s="698"/>
      <c r="J85" s="897">
        <f>-MIN(ABS(H85),ABS(I86-J82-J83-J84))*SIGN(H85)</f>
        <v>0</v>
      </c>
      <c r="K85" s="898">
        <f>+J85+G85</f>
        <v>0</v>
      </c>
      <c r="L85" s="20"/>
      <c r="M85" s="839">
        <f>+H85+J85</f>
        <v>0</v>
      </c>
    </row>
    <row r="86" spans="1:13" ht="13" x14ac:dyDescent="0.3">
      <c r="A86" s="18"/>
      <c r="B86" s="18"/>
      <c r="C86" s="18"/>
      <c r="D86" s="18"/>
      <c r="E86" s="18"/>
      <c r="F86" s="899">
        <f>SUM(F82:F85)</f>
        <v>0</v>
      </c>
      <c r="G86" s="899">
        <f>SUM(G82:G85)</f>
        <v>0</v>
      </c>
      <c r="H86" s="899">
        <f>SUM(H82:H85)</f>
        <v>0</v>
      </c>
      <c r="I86" s="899">
        <f>-H86*0.6</f>
        <v>0</v>
      </c>
      <c r="J86" s="900">
        <f>SUM(J82:J85)</f>
        <v>0</v>
      </c>
      <c r="K86" s="900"/>
      <c r="L86" s="18"/>
      <c r="M86" s="899">
        <f>SUM(M82:M85)</f>
        <v>0</v>
      </c>
    </row>
    <row r="87" spans="1:13" x14ac:dyDescent="0.25">
      <c r="A87" s="20"/>
      <c r="B87" s="20"/>
      <c r="C87" s="20"/>
      <c r="D87" s="20"/>
      <c r="E87" s="20"/>
      <c r="F87" s="20"/>
      <c r="G87" s="20"/>
      <c r="H87" s="20"/>
      <c r="I87" s="20"/>
      <c r="J87" s="20"/>
      <c r="K87" s="20"/>
      <c r="L87" s="394"/>
      <c r="M87" s="20"/>
    </row>
    <row r="88" spans="1:13" x14ac:dyDescent="0.25">
      <c r="A88" s="20"/>
      <c r="B88" s="20"/>
      <c r="C88" s="20"/>
      <c r="D88" s="20"/>
      <c r="E88" s="20"/>
      <c r="F88" s="20"/>
      <c r="G88" s="20"/>
      <c r="H88" s="20"/>
      <c r="I88" s="20"/>
      <c r="J88" s="20"/>
      <c r="K88" s="20"/>
      <c r="L88" s="394"/>
      <c r="M88" s="20"/>
    </row>
    <row r="89" spans="1:13" ht="13" x14ac:dyDescent="0.3">
      <c r="A89" s="18" t="s">
        <v>364</v>
      </c>
      <c r="B89" s="381"/>
      <c r="C89" s="381"/>
      <c r="D89" s="381"/>
      <c r="E89" s="20"/>
      <c r="F89" s="20"/>
      <c r="G89" s="20"/>
      <c r="H89" s="20"/>
      <c r="I89" s="20"/>
      <c r="J89" s="20"/>
      <c r="K89" s="20"/>
      <c r="L89" s="394"/>
      <c r="M89" s="20"/>
    </row>
    <row r="90" spans="1:13" ht="13" x14ac:dyDescent="0.3">
      <c r="A90" s="18"/>
      <c r="B90" s="381"/>
      <c r="C90" s="381"/>
      <c r="D90" s="381"/>
      <c r="E90" s="20"/>
      <c r="F90" s="20"/>
      <c r="G90" s="20"/>
      <c r="H90" s="20"/>
      <c r="I90" s="20"/>
      <c r="J90" s="20"/>
      <c r="K90" s="20"/>
      <c r="L90" s="394"/>
      <c r="M90" s="20"/>
    </row>
    <row r="91" spans="1:13" ht="13" x14ac:dyDescent="0.3">
      <c r="A91" s="864">
        <f>E59</f>
        <v>2017</v>
      </c>
      <c r="B91" s="906">
        <f>I62</f>
        <v>0</v>
      </c>
      <c r="C91" s="381"/>
      <c r="D91" s="381"/>
      <c r="E91" s="20"/>
      <c r="F91" s="20"/>
      <c r="G91" s="20"/>
      <c r="H91" s="20"/>
      <c r="I91" s="20"/>
      <c r="J91" s="20"/>
      <c r="K91" s="20"/>
      <c r="L91" s="394"/>
      <c r="M91" s="20"/>
    </row>
    <row r="92" spans="1:13" ht="13" x14ac:dyDescent="0.3">
      <c r="A92" s="864">
        <f>E64</f>
        <v>2018</v>
      </c>
      <c r="B92" s="906">
        <f>J69</f>
        <v>0</v>
      </c>
      <c r="C92" s="381"/>
      <c r="D92" s="381"/>
      <c r="E92" s="20"/>
      <c r="F92" s="20"/>
      <c r="G92" s="20"/>
      <c r="H92" s="20"/>
      <c r="I92" s="20"/>
      <c r="J92" s="20"/>
      <c r="K92" s="20"/>
      <c r="L92" s="394"/>
      <c r="M92" s="20"/>
    </row>
    <row r="93" spans="1:13" ht="13" x14ac:dyDescent="0.3">
      <c r="A93" s="864">
        <f>E71</f>
        <v>2019</v>
      </c>
      <c r="B93" s="906">
        <f>J77</f>
        <v>0</v>
      </c>
      <c r="C93" s="381"/>
      <c r="D93" s="381"/>
      <c r="E93" s="20"/>
      <c r="F93" s="20"/>
      <c r="G93" s="20"/>
      <c r="H93" s="20"/>
      <c r="I93" s="20"/>
      <c r="J93" s="20"/>
      <c r="K93" s="20"/>
      <c r="L93" s="394"/>
      <c r="M93" s="20"/>
    </row>
    <row r="94" spans="1:13" ht="13" x14ac:dyDescent="0.3">
      <c r="A94" s="864">
        <f>E79</f>
        <v>2020</v>
      </c>
      <c r="B94" s="906">
        <f>J86</f>
        <v>0</v>
      </c>
      <c r="C94" s="381"/>
      <c r="D94" s="381"/>
      <c r="E94" s="20"/>
      <c r="F94" s="20"/>
      <c r="G94" s="20"/>
      <c r="H94" s="20"/>
      <c r="I94" s="20"/>
      <c r="J94" s="20"/>
      <c r="K94" s="20"/>
      <c r="L94" s="394"/>
      <c r="M94" s="20"/>
    </row>
  </sheetData>
  <mergeCells count="30">
    <mergeCell ref="A68:D68"/>
    <mergeCell ref="A83:D83"/>
    <mergeCell ref="A84:D84"/>
    <mergeCell ref="A85:D85"/>
    <mergeCell ref="A73:D73"/>
    <mergeCell ref="A74:D74"/>
    <mergeCell ref="A75:D75"/>
    <mergeCell ref="A76:D76"/>
    <mergeCell ref="A81:D81"/>
    <mergeCell ref="A82:D82"/>
    <mergeCell ref="A57:J57"/>
    <mergeCell ref="A61:D61"/>
    <mergeCell ref="A62:D62"/>
    <mergeCell ref="A66:D66"/>
    <mergeCell ref="A67:D67"/>
    <mergeCell ref="A1:J1"/>
    <mergeCell ref="A4:J4"/>
    <mergeCell ref="C6:H6"/>
    <mergeCell ref="C7:H7"/>
    <mergeCell ref="C8:H8"/>
    <mergeCell ref="A43:J43"/>
    <mergeCell ref="C47:H47"/>
    <mergeCell ref="A49:A54"/>
    <mergeCell ref="K15:L15"/>
    <mergeCell ref="C19:H19"/>
    <mergeCell ref="A20:B20"/>
    <mergeCell ref="A21:A27"/>
    <mergeCell ref="C32:H32"/>
    <mergeCell ref="A34:A40"/>
    <mergeCell ref="A15:J15"/>
  </mergeCells>
  <conditionalFormatting sqref="A1:XFD1048576">
    <cfRule type="expression" dxfId="65" priority="3" stopIfTrue="1">
      <formula>$C$7="gas"</formula>
    </cfRule>
  </conditionalFormatting>
  <conditionalFormatting sqref="N58:IV94">
    <cfRule type="expression" dxfId="64" priority="2" stopIfTrue="1">
      <formula>$C$7="gas"</formula>
    </cfRule>
  </conditionalFormatting>
  <conditionalFormatting sqref="A57:XFD57">
    <cfRule type="expression" dxfId="63" priority="1" stopIfTrue="1">
      <formula>$C$7="gas"</formula>
    </cfRule>
  </conditionalFormatting>
  <pageMargins left="0.78740157480314965" right="0.78740157480314965" top="0.98425196850393704" bottom="0.98425196850393704" header="0.51181102362204722" footer="0.51181102362204722"/>
  <pageSetup paperSize="8" scale="43" orientation="landscape" r:id="rId1"/>
  <headerFooter alignWithMargins="0">
    <oddFooter>&amp;CPage &amp;P</oddFooter>
  </headerFooter>
  <ignoredErrors>
    <ignoredError sqref="J33 L3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pageSetUpPr fitToPage="1"/>
  </sheetPr>
  <dimension ref="A1:AC88"/>
  <sheetViews>
    <sheetView zoomScale="80" zoomScaleNormal="80" zoomScaleSheetLayoutView="80" workbookViewId="0">
      <selection activeCell="C19" sqref="C19"/>
    </sheetView>
  </sheetViews>
  <sheetFormatPr defaultColWidth="11.453125" defaultRowHeight="12.5" x14ac:dyDescent="0.25"/>
  <cols>
    <col min="1" max="1" width="24.26953125" style="187" customWidth="1"/>
    <col min="2" max="2" width="21.54296875" style="187" customWidth="1"/>
    <col min="3" max="8" width="17.7265625" style="187" customWidth="1"/>
    <col min="9" max="9" width="2.26953125" style="187" customWidth="1"/>
    <col min="10" max="10" width="17.7265625" style="187" customWidth="1"/>
    <col min="11" max="11" width="2" style="187" customWidth="1"/>
    <col min="12" max="12" width="17.7265625" style="187" customWidth="1"/>
    <col min="13" max="13" width="28.7265625" style="187" bestFit="1" customWidth="1"/>
    <col min="14" max="14" width="14" style="187" customWidth="1"/>
    <col min="15" max="15" width="11.453125" style="187"/>
    <col min="16" max="16" width="12.26953125" style="187" bestFit="1" customWidth="1"/>
    <col min="17" max="16384" width="11.453125" style="187"/>
  </cols>
  <sheetData>
    <row r="1" spans="1:18" ht="36" customHeight="1" thickBot="1" x14ac:dyDescent="0.45">
      <c r="A1" s="1092" t="s">
        <v>227</v>
      </c>
      <c r="B1" s="1093"/>
      <c r="C1" s="1093"/>
      <c r="D1" s="1093"/>
      <c r="E1" s="1093"/>
      <c r="F1" s="1093"/>
      <c r="G1" s="1093"/>
      <c r="H1" s="1093"/>
      <c r="I1" s="1093"/>
      <c r="J1" s="1094"/>
      <c r="K1" s="50"/>
      <c r="L1" s="48"/>
      <c r="M1" s="921"/>
      <c r="N1" s="919"/>
      <c r="O1" s="919"/>
      <c r="P1" s="919"/>
      <c r="Q1" s="919"/>
    </row>
    <row r="2" spans="1:18" x14ac:dyDescent="0.25">
      <c r="A2" s="188"/>
      <c r="B2" s="188"/>
      <c r="C2" s="188"/>
      <c r="D2" s="188"/>
      <c r="E2" s="188"/>
      <c r="F2" s="188"/>
      <c r="G2" s="188"/>
      <c r="H2" s="188"/>
      <c r="I2" s="188"/>
      <c r="J2" s="188"/>
      <c r="K2" s="50"/>
      <c r="L2" s="48"/>
      <c r="M2" s="918"/>
      <c r="N2" s="919"/>
      <c r="O2" s="919"/>
      <c r="P2" s="919"/>
      <c r="Q2" s="919"/>
    </row>
    <row r="3" spans="1:18" x14ac:dyDescent="0.25">
      <c r="A3" s="188"/>
      <c r="B3" s="188"/>
      <c r="C3" s="491">
        <f t="shared" ref="C3:H3" si="0">+C7+1</f>
        <v>2016</v>
      </c>
      <c r="D3" s="491">
        <f t="shared" si="0"/>
        <v>2017</v>
      </c>
      <c r="E3" s="491">
        <f t="shared" si="0"/>
        <v>2018</v>
      </c>
      <c r="F3" s="491">
        <f t="shared" si="0"/>
        <v>2019</v>
      </c>
      <c r="G3" s="491">
        <f t="shared" si="0"/>
        <v>2020</v>
      </c>
      <c r="H3" s="491">
        <f t="shared" si="0"/>
        <v>2021</v>
      </c>
      <c r="I3" s="491"/>
      <c r="J3" s="491"/>
      <c r="K3" s="922"/>
      <c r="L3" s="483"/>
      <c r="M3" s="491" t="str">
        <f>+TITELBLAD!B18</f>
        <v>Rapportering over boekjaar:</v>
      </c>
      <c r="N3" s="488">
        <f>+TITELBLAD!E18</f>
        <v>2019</v>
      </c>
      <c r="O3" s="488" t="str">
        <f>+TITELBLAD!F18</f>
        <v>ex-ante</v>
      </c>
      <c r="P3" s="488"/>
      <c r="Q3" s="488"/>
      <c r="R3" s="488"/>
    </row>
    <row r="4" spans="1:18" s="48" customFormat="1" ht="16.5" x14ac:dyDescent="0.35">
      <c r="A4" s="51"/>
      <c r="C4" s="1098" t="str">
        <f>+TITELBLAD!C7</f>
        <v>Naam distributienetbeheerder</v>
      </c>
      <c r="D4" s="1099"/>
      <c r="E4" s="1099"/>
      <c r="F4" s="1099"/>
      <c r="G4" s="1099"/>
      <c r="H4" s="1100"/>
      <c r="K4" s="50"/>
      <c r="M4" s="920"/>
      <c r="N4" s="919"/>
      <c r="O4" s="919"/>
      <c r="P4" s="920"/>
      <c r="Q4" s="920"/>
    </row>
    <row r="5" spans="1:18" s="48" customFormat="1" ht="16.5" x14ac:dyDescent="0.35">
      <c r="A5" s="51"/>
      <c r="C5" s="1098" t="str">
        <f>+TITELBLAD!C12</f>
        <v>elektriciteit</v>
      </c>
      <c r="D5" s="1099"/>
      <c r="E5" s="1099"/>
      <c r="F5" s="1099"/>
      <c r="G5" s="1099"/>
      <c r="H5" s="1100"/>
      <c r="K5" s="50"/>
      <c r="M5" s="920"/>
      <c r="N5" s="920"/>
      <c r="O5" s="920"/>
      <c r="P5" s="920"/>
      <c r="Q5" s="920"/>
    </row>
    <row r="6" spans="1:18" s="48" customFormat="1" ht="16.5" x14ac:dyDescent="0.35">
      <c r="A6" s="51"/>
      <c r="C6" s="1023" t="s">
        <v>30</v>
      </c>
      <c r="D6" s="1024"/>
      <c r="E6" s="1024"/>
      <c r="F6" s="1024"/>
      <c r="G6" s="1024"/>
      <c r="H6" s="1025"/>
      <c r="K6" s="50"/>
      <c r="M6" s="920"/>
      <c r="N6" s="920"/>
      <c r="O6" s="920"/>
      <c r="P6" s="920"/>
      <c r="Q6" s="920"/>
    </row>
    <row r="7" spans="1:18" s="48" customFormat="1" ht="52.5" customHeight="1" x14ac:dyDescent="0.25">
      <c r="A7" s="1103" t="s">
        <v>262</v>
      </c>
      <c r="B7" s="1104"/>
      <c r="C7" s="725">
        <v>2015</v>
      </c>
      <c r="D7" s="725">
        <v>2016</v>
      </c>
      <c r="E7" s="725">
        <v>2017</v>
      </c>
      <c r="F7" s="725">
        <v>2018</v>
      </c>
      <c r="G7" s="725">
        <v>2019</v>
      </c>
      <c r="H7" s="725">
        <v>2020</v>
      </c>
      <c r="K7" s="50"/>
      <c r="M7" s="920"/>
      <c r="N7" s="920"/>
      <c r="O7" s="920"/>
      <c r="P7" s="920"/>
      <c r="Q7" s="920"/>
    </row>
    <row r="8" spans="1:18" s="685" customFormat="1" ht="28.5" customHeight="1" x14ac:dyDescent="0.25">
      <c r="A8" s="1077" t="s">
        <v>327</v>
      </c>
      <c r="B8" s="1079"/>
      <c r="C8" s="736">
        <f t="shared" ref="C8:H8" si="1">SUM(C9:C15)</f>
        <v>0</v>
      </c>
      <c r="D8" s="736">
        <f t="shared" si="1"/>
        <v>0</v>
      </c>
      <c r="E8" s="736">
        <f t="shared" si="1"/>
        <v>0</v>
      </c>
      <c r="F8" s="736">
        <f t="shared" si="1"/>
        <v>0</v>
      </c>
      <c r="G8" s="736">
        <f t="shared" si="1"/>
        <v>0</v>
      </c>
      <c r="H8" s="736">
        <f t="shared" si="1"/>
        <v>0</v>
      </c>
      <c r="K8" s="747"/>
    </row>
    <row r="9" spans="1:18" s="48" customFormat="1" ht="38.25" customHeight="1" x14ac:dyDescent="0.25">
      <c r="A9" s="1101" t="s">
        <v>215</v>
      </c>
      <c r="B9" s="1102"/>
      <c r="C9" s="737">
        <v>0</v>
      </c>
      <c r="D9" s="737">
        <v>0</v>
      </c>
      <c r="E9" s="737">
        <v>0</v>
      </c>
      <c r="F9" s="737">
        <v>0</v>
      </c>
      <c r="G9" s="737">
        <v>0</v>
      </c>
      <c r="H9" s="737">
        <v>0</v>
      </c>
      <c r="K9" s="50"/>
    </row>
    <row r="10" spans="1:18" s="48" customFormat="1" ht="41.25" customHeight="1" x14ac:dyDescent="0.25">
      <c r="A10" s="1101" t="s">
        <v>216</v>
      </c>
      <c r="B10" s="1102"/>
      <c r="C10" s="737">
        <v>0</v>
      </c>
      <c r="D10" s="737">
        <v>0</v>
      </c>
      <c r="E10" s="737">
        <v>0</v>
      </c>
      <c r="F10" s="737">
        <v>0</v>
      </c>
      <c r="G10" s="737">
        <v>0</v>
      </c>
      <c r="H10" s="737">
        <v>0</v>
      </c>
      <c r="K10" s="50"/>
    </row>
    <row r="11" spans="1:18" s="48" customFormat="1" ht="37.5" customHeight="1" x14ac:dyDescent="0.25">
      <c r="A11" s="1101" t="s">
        <v>218</v>
      </c>
      <c r="B11" s="1102"/>
      <c r="C11" s="737">
        <v>0</v>
      </c>
      <c r="D11" s="737">
        <v>0</v>
      </c>
      <c r="E11" s="737">
        <v>0</v>
      </c>
      <c r="F11" s="737">
        <v>0</v>
      </c>
      <c r="G11" s="737">
        <v>0</v>
      </c>
      <c r="H11" s="737">
        <v>0</v>
      </c>
      <c r="K11" s="50"/>
    </row>
    <row r="12" spans="1:18" s="48" customFormat="1" ht="48" customHeight="1" x14ac:dyDescent="0.25">
      <c r="A12" s="1101" t="s">
        <v>219</v>
      </c>
      <c r="B12" s="1102"/>
      <c r="C12" s="737">
        <v>0</v>
      </c>
      <c r="D12" s="737">
        <v>0</v>
      </c>
      <c r="E12" s="737">
        <v>0</v>
      </c>
      <c r="F12" s="737">
        <v>0</v>
      </c>
      <c r="G12" s="737">
        <v>0</v>
      </c>
      <c r="H12" s="737">
        <v>0</v>
      </c>
      <c r="K12" s="50"/>
    </row>
    <row r="13" spans="1:18" s="48" customFormat="1" ht="34.5" customHeight="1" x14ac:dyDescent="0.25">
      <c r="A13" s="1101" t="s">
        <v>220</v>
      </c>
      <c r="B13" s="1102"/>
      <c r="C13" s="737">
        <v>0</v>
      </c>
      <c r="D13" s="737">
        <v>0</v>
      </c>
      <c r="E13" s="737">
        <v>0</v>
      </c>
      <c r="F13" s="737">
        <v>0</v>
      </c>
      <c r="G13" s="737">
        <v>0</v>
      </c>
      <c r="H13" s="737">
        <v>0</v>
      </c>
      <c r="K13" s="50"/>
    </row>
    <row r="14" spans="1:18" s="48" customFormat="1" ht="49.5" customHeight="1" x14ac:dyDescent="0.25">
      <c r="A14" s="1101" t="s">
        <v>221</v>
      </c>
      <c r="B14" s="1102"/>
      <c r="C14" s="737">
        <v>0</v>
      </c>
      <c r="D14" s="737">
        <v>0</v>
      </c>
      <c r="E14" s="737">
        <v>0</v>
      </c>
      <c r="F14" s="737">
        <v>0</v>
      </c>
      <c r="G14" s="737">
        <v>0</v>
      </c>
      <c r="H14" s="737">
        <v>0</v>
      </c>
      <c r="K14" s="50"/>
    </row>
    <row r="15" spans="1:18" s="48" customFormat="1" ht="46.5" customHeight="1" x14ac:dyDescent="0.25">
      <c r="A15" s="1101" t="s">
        <v>222</v>
      </c>
      <c r="B15" s="1102"/>
      <c r="C15" s="737">
        <v>0</v>
      </c>
      <c r="D15" s="737">
        <v>0</v>
      </c>
      <c r="E15" s="737">
        <v>0</v>
      </c>
      <c r="F15" s="737">
        <v>0</v>
      </c>
      <c r="G15" s="737">
        <v>0</v>
      </c>
      <c r="H15" s="737">
        <v>0</v>
      </c>
      <c r="K15" s="50"/>
    </row>
    <row r="16" spans="1:18" s="685" customFormat="1" ht="30" customHeight="1" x14ac:dyDescent="0.25">
      <c r="A16" s="1077" t="s">
        <v>348</v>
      </c>
      <c r="B16" s="1079"/>
      <c r="C16" s="736">
        <f t="shared" ref="C16:H16" si="2">SUM(C17:C23)</f>
        <v>0</v>
      </c>
      <c r="D16" s="736">
        <f t="shared" si="2"/>
        <v>0</v>
      </c>
      <c r="E16" s="736">
        <f t="shared" si="2"/>
        <v>0</v>
      </c>
      <c r="F16" s="736">
        <f t="shared" si="2"/>
        <v>0</v>
      </c>
      <c r="G16" s="736">
        <f t="shared" si="2"/>
        <v>0</v>
      </c>
      <c r="H16" s="736">
        <f t="shared" si="2"/>
        <v>0</v>
      </c>
      <c r="K16" s="747"/>
    </row>
    <row r="17" spans="1:11" s="48" customFormat="1" ht="38.25" customHeight="1" x14ac:dyDescent="0.25">
      <c r="A17" s="1101" t="s">
        <v>215</v>
      </c>
      <c r="B17" s="1102"/>
      <c r="C17" s="737">
        <v>0</v>
      </c>
      <c r="D17" s="737">
        <v>0</v>
      </c>
      <c r="E17" s="737">
        <v>0</v>
      </c>
      <c r="F17" s="737">
        <v>0</v>
      </c>
      <c r="G17" s="737">
        <v>0</v>
      </c>
      <c r="H17" s="737">
        <v>0</v>
      </c>
      <c r="K17" s="50"/>
    </row>
    <row r="18" spans="1:11" s="48" customFormat="1" ht="41.25" customHeight="1" x14ac:dyDescent="0.25">
      <c r="A18" s="1101" t="s">
        <v>216</v>
      </c>
      <c r="B18" s="1102"/>
      <c r="C18" s="737">
        <v>0</v>
      </c>
      <c r="D18" s="737">
        <v>0</v>
      </c>
      <c r="E18" s="737">
        <v>0</v>
      </c>
      <c r="F18" s="737">
        <v>0</v>
      </c>
      <c r="G18" s="737">
        <v>0</v>
      </c>
      <c r="H18" s="737">
        <v>0</v>
      </c>
      <c r="K18" s="50"/>
    </row>
    <row r="19" spans="1:11" s="48" customFormat="1" ht="37.5" customHeight="1" x14ac:dyDescent="0.25">
      <c r="A19" s="1101" t="s">
        <v>218</v>
      </c>
      <c r="B19" s="1102"/>
      <c r="C19" s="737">
        <v>0</v>
      </c>
      <c r="D19" s="737">
        <v>0</v>
      </c>
      <c r="E19" s="737">
        <v>0</v>
      </c>
      <c r="F19" s="737">
        <v>0</v>
      </c>
      <c r="G19" s="737">
        <v>0</v>
      </c>
      <c r="H19" s="737">
        <v>0</v>
      </c>
      <c r="K19" s="50"/>
    </row>
    <row r="20" spans="1:11" s="48" customFormat="1" ht="48" customHeight="1" x14ac:dyDescent="0.25">
      <c r="A20" s="1101" t="s">
        <v>219</v>
      </c>
      <c r="B20" s="1102"/>
      <c r="C20" s="737">
        <v>0</v>
      </c>
      <c r="D20" s="737">
        <v>0</v>
      </c>
      <c r="E20" s="737">
        <v>0</v>
      </c>
      <c r="F20" s="737">
        <v>0</v>
      </c>
      <c r="G20" s="737">
        <v>0</v>
      </c>
      <c r="H20" s="737">
        <v>0</v>
      </c>
      <c r="K20" s="50"/>
    </row>
    <row r="21" spans="1:11" s="48" customFormat="1" ht="34.5" customHeight="1" x14ac:dyDescent="0.25">
      <c r="A21" s="1101" t="s">
        <v>220</v>
      </c>
      <c r="B21" s="1102"/>
      <c r="C21" s="737">
        <v>0</v>
      </c>
      <c r="D21" s="737">
        <v>0</v>
      </c>
      <c r="E21" s="737">
        <v>0</v>
      </c>
      <c r="F21" s="737">
        <v>0</v>
      </c>
      <c r="G21" s="737">
        <v>0</v>
      </c>
      <c r="H21" s="737">
        <v>0</v>
      </c>
      <c r="K21" s="50"/>
    </row>
    <row r="22" spans="1:11" s="48" customFormat="1" ht="49.5" customHeight="1" x14ac:dyDescent="0.25">
      <c r="A22" s="1101" t="s">
        <v>221</v>
      </c>
      <c r="B22" s="1102"/>
      <c r="C22" s="737">
        <v>0</v>
      </c>
      <c r="D22" s="737">
        <v>0</v>
      </c>
      <c r="E22" s="737">
        <v>0</v>
      </c>
      <c r="F22" s="737">
        <v>0</v>
      </c>
      <c r="G22" s="737">
        <v>0</v>
      </c>
      <c r="H22" s="737">
        <v>0</v>
      </c>
      <c r="K22" s="50"/>
    </row>
    <row r="23" spans="1:11" s="48" customFormat="1" ht="46.5" customHeight="1" x14ac:dyDescent="0.25">
      <c r="A23" s="1101" t="s">
        <v>222</v>
      </c>
      <c r="B23" s="1102"/>
      <c r="C23" s="737">
        <v>0</v>
      </c>
      <c r="D23" s="737">
        <v>0</v>
      </c>
      <c r="E23" s="737">
        <v>0</v>
      </c>
      <c r="F23" s="737">
        <v>0</v>
      </c>
      <c r="G23" s="737">
        <v>0</v>
      </c>
      <c r="H23" s="737">
        <v>0</v>
      </c>
      <c r="K23" s="50"/>
    </row>
    <row r="24" spans="1:11" s="735" customFormat="1" ht="27.75" customHeight="1" x14ac:dyDescent="0.25">
      <c r="A24" s="1089" t="s">
        <v>332</v>
      </c>
      <c r="B24" s="1091"/>
      <c r="C24" s="736">
        <f t="shared" ref="C24:H24" si="3">SUM(C25:C31)</f>
        <v>0</v>
      </c>
      <c r="D24" s="736">
        <f t="shared" si="3"/>
        <v>0</v>
      </c>
      <c r="E24" s="736">
        <f t="shared" si="3"/>
        <v>0</v>
      </c>
      <c r="F24" s="736">
        <f t="shared" si="3"/>
        <v>0</v>
      </c>
      <c r="G24" s="736">
        <f t="shared" si="3"/>
        <v>0</v>
      </c>
      <c r="H24" s="736">
        <f t="shared" si="3"/>
        <v>0</v>
      </c>
    </row>
    <row r="25" spans="1:11" s="51" customFormat="1" ht="38.25" customHeight="1" x14ac:dyDescent="0.25">
      <c r="A25" s="1101" t="s">
        <v>215</v>
      </c>
      <c r="B25" s="1102"/>
      <c r="C25" s="738">
        <f t="shared" ref="C25:H25" si="4">+C9-C17</f>
        <v>0</v>
      </c>
      <c r="D25" s="738">
        <f t="shared" si="4"/>
        <v>0</v>
      </c>
      <c r="E25" s="738">
        <f t="shared" si="4"/>
        <v>0</v>
      </c>
      <c r="F25" s="738">
        <f t="shared" si="4"/>
        <v>0</v>
      </c>
      <c r="G25" s="738">
        <f t="shared" si="4"/>
        <v>0</v>
      </c>
      <c r="H25" s="738">
        <f t="shared" si="4"/>
        <v>0</v>
      </c>
      <c r="K25" s="178"/>
    </row>
    <row r="26" spans="1:11" s="51" customFormat="1" ht="41.25" customHeight="1" x14ac:dyDescent="0.25">
      <c r="A26" s="1101" t="s">
        <v>216</v>
      </c>
      <c r="B26" s="1102"/>
      <c r="C26" s="738">
        <f t="shared" ref="C26:C31" si="5">+C10-C18</f>
        <v>0</v>
      </c>
      <c r="D26" s="738">
        <f t="shared" ref="D26:H31" si="6">+D10-D18</f>
        <v>0</v>
      </c>
      <c r="E26" s="738">
        <f t="shared" si="6"/>
        <v>0</v>
      </c>
      <c r="F26" s="738">
        <f t="shared" si="6"/>
        <v>0</v>
      </c>
      <c r="G26" s="738">
        <f t="shared" si="6"/>
        <v>0</v>
      </c>
      <c r="H26" s="738">
        <f t="shared" si="6"/>
        <v>0</v>
      </c>
      <c r="K26" s="178"/>
    </row>
    <row r="27" spans="1:11" s="51" customFormat="1" ht="37.5" customHeight="1" x14ac:dyDescent="0.25">
      <c r="A27" s="1101" t="s">
        <v>218</v>
      </c>
      <c r="B27" s="1102"/>
      <c r="C27" s="738">
        <f t="shared" si="5"/>
        <v>0</v>
      </c>
      <c r="D27" s="738">
        <f t="shared" si="6"/>
        <v>0</v>
      </c>
      <c r="E27" s="738">
        <f t="shared" si="6"/>
        <v>0</v>
      </c>
      <c r="F27" s="738">
        <f t="shared" si="6"/>
        <v>0</v>
      </c>
      <c r="G27" s="738">
        <f t="shared" si="6"/>
        <v>0</v>
      </c>
      <c r="H27" s="738">
        <f t="shared" si="6"/>
        <v>0</v>
      </c>
      <c r="K27" s="178"/>
    </row>
    <row r="28" spans="1:11" s="51" customFormat="1" ht="48" customHeight="1" x14ac:dyDescent="0.25">
      <c r="A28" s="1101" t="s">
        <v>219</v>
      </c>
      <c r="B28" s="1102"/>
      <c r="C28" s="738">
        <f t="shared" si="5"/>
        <v>0</v>
      </c>
      <c r="D28" s="738">
        <f t="shared" si="6"/>
        <v>0</v>
      </c>
      <c r="E28" s="738">
        <f t="shared" si="6"/>
        <v>0</v>
      </c>
      <c r="F28" s="738">
        <f t="shared" si="6"/>
        <v>0</v>
      </c>
      <c r="G28" s="738">
        <f t="shared" si="6"/>
        <v>0</v>
      </c>
      <c r="H28" s="738">
        <f t="shared" si="6"/>
        <v>0</v>
      </c>
      <c r="K28" s="178"/>
    </row>
    <row r="29" spans="1:11" s="51" customFormat="1" ht="34.5" customHeight="1" x14ac:dyDescent="0.25">
      <c r="A29" s="1101" t="s">
        <v>220</v>
      </c>
      <c r="B29" s="1102"/>
      <c r="C29" s="738">
        <f t="shared" si="5"/>
        <v>0</v>
      </c>
      <c r="D29" s="738">
        <f t="shared" si="6"/>
        <v>0</v>
      </c>
      <c r="E29" s="738">
        <f t="shared" si="6"/>
        <v>0</v>
      </c>
      <c r="F29" s="738">
        <f t="shared" si="6"/>
        <v>0</v>
      </c>
      <c r="G29" s="738">
        <f t="shared" si="6"/>
        <v>0</v>
      </c>
      <c r="H29" s="738">
        <f t="shared" si="6"/>
        <v>0</v>
      </c>
      <c r="K29" s="178"/>
    </row>
    <row r="30" spans="1:11" s="51" customFormat="1" ht="49.5" customHeight="1" x14ac:dyDescent="0.25">
      <c r="A30" s="1101" t="s">
        <v>221</v>
      </c>
      <c r="B30" s="1102"/>
      <c r="C30" s="738">
        <f t="shared" si="5"/>
        <v>0</v>
      </c>
      <c r="D30" s="738">
        <f t="shared" si="6"/>
        <v>0</v>
      </c>
      <c r="E30" s="738">
        <f t="shared" si="6"/>
        <v>0</v>
      </c>
      <c r="F30" s="738">
        <f t="shared" si="6"/>
        <v>0</v>
      </c>
      <c r="G30" s="738">
        <f t="shared" si="6"/>
        <v>0</v>
      </c>
      <c r="H30" s="738">
        <f t="shared" si="6"/>
        <v>0</v>
      </c>
      <c r="K30" s="178"/>
    </row>
    <row r="31" spans="1:11" s="51" customFormat="1" ht="46.5" customHeight="1" x14ac:dyDescent="0.25">
      <c r="A31" s="1101" t="s">
        <v>222</v>
      </c>
      <c r="B31" s="1102"/>
      <c r="C31" s="738">
        <f t="shared" si="5"/>
        <v>0</v>
      </c>
      <c r="D31" s="738">
        <f t="shared" si="6"/>
        <v>0</v>
      </c>
      <c r="E31" s="738">
        <f t="shared" si="6"/>
        <v>0</v>
      </c>
      <c r="F31" s="738">
        <f t="shared" si="6"/>
        <v>0</v>
      </c>
      <c r="G31" s="738">
        <f t="shared" si="6"/>
        <v>0</v>
      </c>
      <c r="H31" s="738">
        <f t="shared" si="6"/>
        <v>0</v>
      </c>
      <c r="K31" s="178"/>
    </row>
    <row r="32" spans="1:11" s="48" customFormat="1" ht="13" x14ac:dyDescent="0.3">
      <c r="A32" s="51"/>
      <c r="C32" s="194" t="s">
        <v>257</v>
      </c>
      <c r="K32" s="50"/>
    </row>
    <row r="33" spans="1:29" s="48" customFormat="1" ht="13" x14ac:dyDescent="0.3">
      <c r="A33" s="51"/>
      <c r="C33" s="196" t="s">
        <v>258</v>
      </c>
      <c r="K33" s="50"/>
    </row>
    <row r="34" spans="1:29" s="48" customFormat="1" ht="13" x14ac:dyDescent="0.25">
      <c r="A34" s="51"/>
      <c r="C34" s="50"/>
      <c r="K34" s="50"/>
    </row>
    <row r="35" spans="1:29" ht="14.25" customHeight="1" thickBot="1" x14ac:dyDescent="0.45">
      <c r="A35" s="233"/>
      <c r="B35" s="234"/>
      <c r="C35" s="234"/>
      <c r="D35" s="234"/>
      <c r="E35" s="234"/>
      <c r="F35" s="234"/>
      <c r="G35" s="234"/>
      <c r="H35" s="234"/>
      <c r="I35" s="234"/>
      <c r="J35" s="234"/>
      <c r="K35" s="189"/>
      <c r="L35" s="189"/>
    </row>
    <row r="36" spans="1:29" s="190" customFormat="1" ht="16" thickBot="1" x14ac:dyDescent="0.4">
      <c r="A36" s="1095" t="s">
        <v>66</v>
      </c>
      <c r="B36" s="1096"/>
      <c r="C36" s="1096"/>
      <c r="D36" s="1096"/>
      <c r="E36" s="1096"/>
      <c r="F36" s="1096"/>
      <c r="G36" s="1096"/>
      <c r="H36" s="1096"/>
      <c r="I36" s="1096"/>
      <c r="J36" s="1097"/>
      <c r="K36" s="189"/>
      <c r="L36" s="189"/>
      <c r="M36" s="187"/>
      <c r="N36" s="187"/>
      <c r="O36" s="187"/>
      <c r="P36" s="187"/>
      <c r="Q36" s="187"/>
      <c r="R36" s="187"/>
      <c r="S36" s="187"/>
      <c r="T36" s="187"/>
      <c r="U36" s="187"/>
      <c r="V36" s="187"/>
      <c r="W36" s="187"/>
      <c r="X36" s="187"/>
      <c r="Y36" s="187"/>
      <c r="Z36" s="187"/>
      <c r="AA36" s="187"/>
      <c r="AB36" s="187"/>
      <c r="AC36" s="187"/>
    </row>
    <row r="37" spans="1:29" ht="13" thickBot="1" x14ac:dyDescent="0.3"/>
    <row r="38" spans="1:29" s="190" customFormat="1" ht="17" thickBot="1" x14ac:dyDescent="0.4">
      <c r="A38" s="187"/>
      <c r="B38" s="187"/>
      <c r="C38" s="1043" t="s">
        <v>43</v>
      </c>
      <c r="D38" s="1044"/>
      <c r="E38" s="1044"/>
      <c r="F38" s="1044"/>
      <c r="G38" s="1044"/>
      <c r="H38" s="1044"/>
      <c r="I38" s="187"/>
      <c r="J38" s="187"/>
      <c r="K38" s="187"/>
      <c r="L38" s="187"/>
      <c r="M38" s="187"/>
      <c r="N38" s="187"/>
      <c r="O38" s="187"/>
      <c r="P38" s="187"/>
      <c r="Q38" s="187"/>
      <c r="R38" s="187"/>
      <c r="S38" s="187"/>
      <c r="T38" s="187"/>
      <c r="U38" s="187"/>
      <c r="V38" s="187"/>
      <c r="W38" s="187"/>
      <c r="X38" s="187"/>
      <c r="Y38" s="187"/>
      <c r="Z38" s="187"/>
      <c r="AA38" s="187"/>
      <c r="AB38" s="187"/>
      <c r="AC38" s="187"/>
    </row>
    <row r="39" spans="1:29" s="190" customFormat="1" ht="13.5" thickBot="1" x14ac:dyDescent="0.35">
      <c r="A39" s="187"/>
      <c r="B39" s="187"/>
      <c r="C39" s="191">
        <f t="shared" ref="C39:H39" si="7">+C7</f>
        <v>2015</v>
      </c>
      <c r="D39" s="192">
        <f t="shared" si="7"/>
        <v>2016</v>
      </c>
      <c r="E39" s="192">
        <f t="shared" si="7"/>
        <v>2017</v>
      </c>
      <c r="F39" s="192">
        <f t="shared" si="7"/>
        <v>2018</v>
      </c>
      <c r="G39" s="192">
        <f t="shared" si="7"/>
        <v>2019</v>
      </c>
      <c r="H39" s="192">
        <f t="shared" si="7"/>
        <v>2020</v>
      </c>
      <c r="I39" s="187"/>
      <c r="J39" s="187"/>
      <c r="K39" s="187"/>
      <c r="L39" s="187"/>
      <c r="M39" s="187"/>
      <c r="N39" s="187"/>
      <c r="O39" s="187"/>
      <c r="P39" s="187"/>
      <c r="Q39" s="187"/>
      <c r="R39" s="187"/>
      <c r="S39" s="187"/>
      <c r="T39" s="187"/>
      <c r="U39" s="187"/>
      <c r="V39" s="187"/>
      <c r="W39" s="187"/>
      <c r="X39" s="187"/>
      <c r="Y39" s="187"/>
      <c r="Z39" s="187"/>
      <c r="AA39" s="187"/>
      <c r="AB39" s="187"/>
      <c r="AC39" s="187"/>
    </row>
    <row r="40" spans="1:29" s="190" customFormat="1" x14ac:dyDescent="0.25">
      <c r="A40" s="187"/>
      <c r="B40" s="187"/>
      <c r="C40" s="467">
        <v>0</v>
      </c>
      <c r="D40" s="467">
        <v>0</v>
      </c>
      <c r="E40" s="467">
        <v>0</v>
      </c>
      <c r="F40" s="467">
        <v>0</v>
      </c>
      <c r="G40" s="467">
        <v>0</v>
      </c>
      <c r="H40" s="467">
        <v>0</v>
      </c>
      <c r="I40" s="187"/>
      <c r="J40" s="187"/>
      <c r="K40" s="187"/>
      <c r="L40" s="187"/>
      <c r="M40" s="187"/>
      <c r="N40" s="187"/>
      <c r="O40" s="187"/>
      <c r="P40" s="187"/>
      <c r="Q40" s="187"/>
      <c r="R40" s="187"/>
      <c r="S40" s="187"/>
      <c r="T40" s="187"/>
      <c r="U40" s="187"/>
      <c r="V40" s="187"/>
      <c r="W40" s="187"/>
      <c r="X40" s="187"/>
      <c r="Y40" s="187"/>
      <c r="Z40" s="187"/>
      <c r="AA40" s="187"/>
      <c r="AB40" s="187"/>
      <c r="AC40" s="187"/>
    </row>
    <row r="41" spans="1:29" ht="13" x14ac:dyDescent="0.3">
      <c r="C41" s="194" t="s">
        <v>343</v>
      </c>
      <c r="F41" s="195"/>
      <c r="G41" s="195"/>
      <c r="H41" s="195"/>
    </row>
    <row r="42" spans="1:29" ht="13" x14ac:dyDescent="0.3">
      <c r="C42" s="196" t="s">
        <v>258</v>
      </c>
    </row>
    <row r="43" spans="1:29" ht="13" x14ac:dyDescent="0.3">
      <c r="C43" s="197"/>
    </row>
    <row r="44" spans="1:29" ht="13.5" thickBot="1" x14ac:dyDescent="0.35">
      <c r="C44" s="197"/>
    </row>
    <row r="45" spans="1:29" ht="16" thickBot="1" x14ac:dyDescent="0.4">
      <c r="A45" s="1105" t="s">
        <v>29</v>
      </c>
      <c r="B45" s="1106"/>
      <c r="C45" s="1106"/>
      <c r="D45" s="1106"/>
      <c r="E45" s="1106"/>
      <c r="F45" s="1106"/>
      <c r="G45" s="1106"/>
      <c r="H45" s="1106"/>
      <c r="I45" s="1106"/>
      <c r="J45" s="1107"/>
      <c r="K45" s="1050"/>
      <c r="L45" s="1050"/>
    </row>
    <row r="47" spans="1:29" ht="13" x14ac:dyDescent="0.3">
      <c r="C47" s="194" t="s">
        <v>343</v>
      </c>
    </row>
    <row r="48" spans="1:29" ht="13" x14ac:dyDescent="0.3">
      <c r="C48" s="196" t="s">
        <v>258</v>
      </c>
    </row>
    <row r="49" spans="1:29" ht="16.5" x14ac:dyDescent="0.35">
      <c r="C49" s="1023" t="s">
        <v>30</v>
      </c>
      <c r="D49" s="1024"/>
      <c r="E49" s="1024"/>
      <c r="F49" s="1024"/>
      <c r="G49" s="1024"/>
      <c r="H49" s="1025"/>
      <c r="J49" s="200" t="s">
        <v>31</v>
      </c>
    </row>
    <row r="50" spans="1:29" ht="13.5" thickBot="1" x14ac:dyDescent="0.35">
      <c r="A50" s="1035"/>
      <c r="B50" s="1035"/>
      <c r="C50" s="201">
        <f t="shared" ref="C50:H50" si="8">C39</f>
        <v>2015</v>
      </c>
      <c r="D50" s="202">
        <f t="shared" si="8"/>
        <v>2016</v>
      </c>
      <c r="E50" s="202">
        <f t="shared" si="8"/>
        <v>2017</v>
      </c>
      <c r="F50" s="202">
        <f t="shared" si="8"/>
        <v>2018</v>
      </c>
      <c r="G50" s="202">
        <f t="shared" si="8"/>
        <v>2019</v>
      </c>
      <c r="H50" s="202">
        <f t="shared" si="8"/>
        <v>2020</v>
      </c>
      <c r="J50" s="203"/>
    </row>
    <row r="51" spans="1:29" s="190" customFormat="1" ht="13" thickBot="1" x14ac:dyDescent="0.3">
      <c r="A51" s="1026" t="s">
        <v>32</v>
      </c>
      <c r="B51" s="204">
        <f>C39</f>
        <v>2015</v>
      </c>
      <c r="C51" s="669">
        <v>0</v>
      </c>
      <c r="D51" s="205"/>
      <c r="E51" s="205"/>
      <c r="F51" s="205"/>
      <c r="G51" s="205"/>
      <c r="H51" s="206"/>
      <c r="I51" s="207"/>
      <c r="J51" s="208">
        <f t="shared" ref="J51:J56" si="9">SUM(C51:H51)</f>
        <v>0</v>
      </c>
      <c r="K51" s="187"/>
      <c r="L51" s="187"/>
      <c r="M51" s="187"/>
      <c r="N51" s="187"/>
      <c r="O51" s="187"/>
      <c r="P51" s="187"/>
      <c r="Q51" s="187"/>
      <c r="R51" s="187"/>
      <c r="S51" s="187"/>
      <c r="T51" s="187"/>
      <c r="U51" s="187"/>
      <c r="V51" s="187"/>
      <c r="W51" s="187"/>
      <c r="X51" s="187"/>
      <c r="Y51" s="187"/>
      <c r="Z51" s="187"/>
      <c r="AA51" s="187"/>
      <c r="AB51" s="187"/>
      <c r="AC51" s="187"/>
    </row>
    <row r="52" spans="1:29" s="190" customFormat="1" ht="13" thickBot="1" x14ac:dyDescent="0.3">
      <c r="A52" s="1108"/>
      <c r="B52" s="209">
        <f>D39</f>
        <v>2016</v>
      </c>
      <c r="C52" s="468">
        <f>+C40-C51</f>
        <v>0</v>
      </c>
      <c r="D52" s="669">
        <v>0</v>
      </c>
      <c r="E52" s="210"/>
      <c r="F52" s="210"/>
      <c r="G52" s="210"/>
      <c r="H52" s="211"/>
      <c r="I52" s="207"/>
      <c r="J52" s="208">
        <f t="shared" si="9"/>
        <v>0</v>
      </c>
      <c r="K52" s="187"/>
      <c r="L52" s="187"/>
      <c r="M52" s="187"/>
      <c r="N52" s="187"/>
      <c r="O52" s="187"/>
      <c r="P52" s="187"/>
      <c r="Q52" s="187"/>
      <c r="R52" s="187"/>
      <c r="S52" s="187"/>
      <c r="T52" s="187"/>
      <c r="U52" s="187"/>
      <c r="V52" s="187"/>
      <c r="W52" s="187"/>
      <c r="X52" s="187"/>
      <c r="Y52" s="187"/>
      <c r="Z52" s="187"/>
      <c r="AA52" s="187"/>
      <c r="AB52" s="187"/>
      <c r="AC52" s="187"/>
    </row>
    <row r="53" spans="1:29" s="190" customFormat="1" ht="13" thickBot="1" x14ac:dyDescent="0.3">
      <c r="A53" s="1108"/>
      <c r="B53" s="209">
        <f>E39</f>
        <v>2017</v>
      </c>
      <c r="C53" s="210"/>
      <c r="D53" s="468">
        <f>+D40-D52</f>
        <v>0</v>
      </c>
      <c r="E53" s="669">
        <v>0</v>
      </c>
      <c r="F53" s="210"/>
      <c r="G53" s="210"/>
      <c r="H53" s="211"/>
      <c r="I53" s="207"/>
      <c r="J53" s="208">
        <f t="shared" si="9"/>
        <v>0</v>
      </c>
      <c r="K53" s="187"/>
      <c r="L53" s="187"/>
      <c r="M53" s="187"/>
      <c r="N53" s="187"/>
      <c r="O53" s="187"/>
      <c r="P53" s="187"/>
      <c r="Q53" s="187"/>
      <c r="R53" s="187"/>
      <c r="S53" s="187"/>
      <c r="T53" s="187"/>
      <c r="U53" s="187"/>
      <c r="V53" s="187"/>
      <c r="W53" s="187"/>
      <c r="X53" s="187"/>
      <c r="Y53" s="187"/>
      <c r="Z53" s="187"/>
      <c r="AA53" s="187"/>
      <c r="AB53" s="187"/>
      <c r="AC53" s="187"/>
    </row>
    <row r="54" spans="1:29" s="190" customFormat="1" ht="13" thickBot="1" x14ac:dyDescent="0.3">
      <c r="A54" s="1108"/>
      <c r="B54" s="209">
        <f>F39</f>
        <v>2018</v>
      </c>
      <c r="C54" s="210"/>
      <c r="D54" s="210"/>
      <c r="E54" s="468">
        <f>+E40-E53</f>
        <v>0</v>
      </c>
      <c r="F54" s="669">
        <v>0</v>
      </c>
      <c r="G54" s="210"/>
      <c r="H54" s="211"/>
      <c r="I54" s="207"/>
      <c r="J54" s="208">
        <f t="shared" si="9"/>
        <v>0</v>
      </c>
      <c r="K54" s="187"/>
      <c r="L54" s="187"/>
      <c r="M54" s="187"/>
      <c r="N54" s="187"/>
      <c r="O54" s="187"/>
      <c r="P54" s="187"/>
      <c r="Q54" s="187"/>
      <c r="R54" s="187"/>
      <c r="S54" s="187"/>
      <c r="T54" s="187"/>
      <c r="U54" s="187"/>
      <c r="V54" s="187"/>
      <c r="W54" s="187"/>
      <c r="X54" s="187"/>
      <c r="Y54" s="187"/>
      <c r="Z54" s="187"/>
      <c r="AA54" s="187"/>
      <c r="AB54" s="187"/>
      <c r="AC54" s="187"/>
    </row>
    <row r="55" spans="1:29" s="190" customFormat="1" ht="13" thickBot="1" x14ac:dyDescent="0.3">
      <c r="A55" s="1108"/>
      <c r="B55" s="209">
        <f>G39</f>
        <v>2019</v>
      </c>
      <c r="C55" s="210"/>
      <c r="D55" s="210"/>
      <c r="E55" s="210"/>
      <c r="F55" s="468">
        <f>+F40-F54</f>
        <v>0</v>
      </c>
      <c r="G55" s="669">
        <v>0</v>
      </c>
      <c r="H55" s="211"/>
      <c r="I55" s="207"/>
      <c r="J55" s="208">
        <f t="shared" si="9"/>
        <v>0</v>
      </c>
      <c r="K55" s="187"/>
      <c r="L55" s="187"/>
      <c r="M55" s="187"/>
      <c r="N55" s="187"/>
      <c r="O55" s="187"/>
      <c r="P55" s="187"/>
      <c r="Q55" s="187"/>
      <c r="R55" s="187"/>
      <c r="S55" s="187"/>
      <c r="T55" s="187"/>
      <c r="U55" s="187"/>
      <c r="V55" s="187"/>
      <c r="W55" s="187"/>
      <c r="X55" s="187"/>
      <c r="Y55" s="187"/>
      <c r="Z55" s="187"/>
      <c r="AA55" s="187"/>
      <c r="AB55" s="187"/>
      <c r="AC55" s="187"/>
    </row>
    <row r="56" spans="1:29" s="190" customFormat="1" ht="13" thickBot="1" x14ac:dyDescent="0.3">
      <c r="A56" s="1108"/>
      <c r="B56" s="209">
        <f>H39</f>
        <v>2020</v>
      </c>
      <c r="C56" s="210"/>
      <c r="D56" s="210"/>
      <c r="E56" s="210"/>
      <c r="F56" s="210"/>
      <c r="G56" s="468">
        <f>+G40-G55</f>
        <v>0</v>
      </c>
      <c r="H56" s="669">
        <v>0</v>
      </c>
      <c r="I56" s="207"/>
      <c r="J56" s="208">
        <f t="shared" si="9"/>
        <v>0</v>
      </c>
      <c r="K56" s="187"/>
      <c r="L56" s="187"/>
      <c r="M56" s="187"/>
      <c r="N56" s="187"/>
      <c r="O56" s="187"/>
      <c r="P56" s="187"/>
      <c r="Q56" s="187"/>
      <c r="R56" s="187"/>
      <c r="S56" s="187"/>
      <c r="T56" s="187"/>
      <c r="U56" s="187"/>
      <c r="V56" s="187"/>
      <c r="W56" s="187"/>
      <c r="X56" s="187"/>
      <c r="Y56" s="187"/>
      <c r="Z56" s="187"/>
      <c r="AA56" s="187"/>
      <c r="AB56" s="187"/>
      <c r="AC56" s="187"/>
    </row>
    <row r="57" spans="1:29" s="199" customFormat="1" ht="15.5" x14ac:dyDescent="0.35">
      <c r="A57" s="1109"/>
      <c r="B57" s="212" t="s">
        <v>33</v>
      </c>
      <c r="C57" s="213">
        <f t="shared" ref="C57:H57" si="10">SUM(C51:C56)</f>
        <v>0</v>
      </c>
      <c r="D57" s="213">
        <f t="shared" si="10"/>
        <v>0</v>
      </c>
      <c r="E57" s="213">
        <f t="shared" si="10"/>
        <v>0</v>
      </c>
      <c r="F57" s="213">
        <f t="shared" si="10"/>
        <v>0</v>
      </c>
      <c r="G57" s="213">
        <f t="shared" si="10"/>
        <v>0</v>
      </c>
      <c r="H57" s="214">
        <f t="shared" si="10"/>
        <v>0</v>
      </c>
      <c r="I57" s="215"/>
      <c r="J57" s="216">
        <f>SUM(J51:J56)</f>
        <v>0</v>
      </c>
      <c r="K57" s="198"/>
      <c r="L57" s="198"/>
      <c r="M57" s="198"/>
      <c r="N57" s="198"/>
      <c r="O57" s="198"/>
      <c r="P57" s="198"/>
      <c r="Q57" s="198"/>
      <c r="R57" s="198"/>
      <c r="S57" s="198"/>
      <c r="T57" s="198"/>
      <c r="U57" s="198"/>
      <c r="V57" s="198"/>
      <c r="W57" s="198"/>
      <c r="X57" s="198"/>
      <c r="Y57" s="198"/>
      <c r="Z57" s="198"/>
      <c r="AA57" s="198"/>
      <c r="AB57" s="198"/>
      <c r="AC57" s="198"/>
    </row>
    <row r="58" spans="1:29" s="196" customFormat="1" ht="13" x14ac:dyDescent="0.3">
      <c r="A58" s="217" t="s">
        <v>58</v>
      </c>
      <c r="C58" s="218">
        <f>+C57+C70</f>
        <v>0</v>
      </c>
      <c r="D58" s="218">
        <f t="shared" ref="D58:J58" si="11">+D57+D70</f>
        <v>0</v>
      </c>
      <c r="E58" s="218">
        <f t="shared" si="11"/>
        <v>0</v>
      </c>
      <c r="F58" s="218">
        <f t="shared" si="11"/>
        <v>0</v>
      </c>
      <c r="G58" s="218">
        <f t="shared" si="11"/>
        <v>0</v>
      </c>
      <c r="H58" s="218">
        <f t="shared" si="11"/>
        <v>0</v>
      </c>
      <c r="I58" s="218"/>
      <c r="J58" s="218">
        <f t="shared" si="11"/>
        <v>0</v>
      </c>
      <c r="K58" s="218"/>
    </row>
    <row r="59" spans="1:29" s="219" customFormat="1" ht="13" x14ac:dyDescent="0.3">
      <c r="A59" s="196"/>
      <c r="B59" s="196"/>
      <c r="C59" s="218"/>
      <c r="D59" s="218"/>
      <c r="E59" s="218"/>
      <c r="F59" s="218"/>
      <c r="G59" s="218"/>
      <c r="H59" s="218"/>
      <c r="I59" s="196"/>
      <c r="J59" s="196"/>
      <c r="K59" s="196"/>
      <c r="L59" s="196"/>
      <c r="M59" s="196"/>
      <c r="N59" s="196"/>
      <c r="O59" s="196"/>
      <c r="P59" s="196"/>
      <c r="Q59" s="196"/>
      <c r="R59" s="196"/>
      <c r="S59" s="196"/>
      <c r="T59" s="196"/>
      <c r="U59" s="196"/>
      <c r="V59" s="196"/>
      <c r="W59" s="196"/>
      <c r="X59" s="196"/>
      <c r="Y59" s="196"/>
      <c r="Z59" s="196"/>
      <c r="AA59" s="196"/>
      <c r="AB59" s="196"/>
      <c r="AC59" s="196"/>
    </row>
    <row r="60" spans="1:29" s="196" customFormat="1" ht="13" x14ac:dyDescent="0.3">
      <c r="C60" s="194" t="s">
        <v>340</v>
      </c>
      <c r="D60" s="218"/>
      <c r="E60" s="218"/>
      <c r="F60" s="218"/>
      <c r="G60" s="218"/>
      <c r="H60" s="218"/>
      <c r="I60" s="218"/>
      <c r="J60" s="218"/>
    </row>
    <row r="61" spans="1:29" ht="13" x14ac:dyDescent="0.3">
      <c r="C61" s="194" t="s">
        <v>341</v>
      </c>
    </row>
    <row r="62" spans="1:29" s="190" customFormat="1" ht="16.5" x14ac:dyDescent="0.35">
      <c r="A62" s="187"/>
      <c r="B62" s="187"/>
      <c r="C62" s="1029" t="s">
        <v>30</v>
      </c>
      <c r="D62" s="1030"/>
      <c r="E62" s="1030"/>
      <c r="F62" s="1030"/>
      <c r="G62" s="1030"/>
      <c r="H62" s="1031"/>
      <c r="I62" s="187"/>
      <c r="J62" s="200" t="s">
        <v>31</v>
      </c>
      <c r="K62" s="187"/>
      <c r="L62" s="200" t="s">
        <v>31</v>
      </c>
      <c r="M62" s="187"/>
      <c r="N62" s="187"/>
      <c r="O62" s="187"/>
      <c r="P62" s="187"/>
      <c r="Q62" s="187"/>
      <c r="R62" s="187"/>
      <c r="S62" s="187"/>
      <c r="T62" s="187"/>
      <c r="U62" s="187"/>
      <c r="V62" s="187"/>
      <c r="W62" s="187"/>
      <c r="X62" s="187"/>
      <c r="Y62" s="187"/>
      <c r="Z62" s="187"/>
      <c r="AA62" s="187"/>
      <c r="AB62" s="187"/>
      <c r="AC62" s="187"/>
    </row>
    <row r="63" spans="1:29" s="190" customFormat="1" x14ac:dyDescent="0.25">
      <c r="A63" s="187"/>
      <c r="B63" s="187"/>
      <c r="C63" s="202">
        <v>2015</v>
      </c>
      <c r="D63" s="202">
        <v>2016</v>
      </c>
      <c r="E63" s="202">
        <v>2017</v>
      </c>
      <c r="F63" s="202">
        <v>2018</v>
      </c>
      <c r="G63" s="202">
        <v>2019</v>
      </c>
      <c r="H63" s="202">
        <v>2020</v>
      </c>
      <c r="I63" s="187"/>
      <c r="J63" s="203" t="s">
        <v>34</v>
      </c>
      <c r="K63" s="187"/>
      <c r="L63" s="203" t="s">
        <v>35</v>
      </c>
      <c r="M63" s="187"/>
      <c r="N63" s="187"/>
      <c r="O63" s="187"/>
      <c r="P63" s="187"/>
      <c r="Q63" s="187"/>
      <c r="R63" s="187"/>
      <c r="S63" s="187"/>
      <c r="T63" s="187"/>
      <c r="U63" s="187"/>
      <c r="V63" s="187"/>
      <c r="W63" s="187"/>
      <c r="X63" s="187"/>
      <c r="Y63" s="187"/>
      <c r="Z63" s="187"/>
      <c r="AA63" s="187"/>
      <c r="AB63" s="187"/>
      <c r="AC63" s="187"/>
    </row>
    <row r="64" spans="1:29" s="190" customFormat="1" ht="12.75" customHeight="1" x14ac:dyDescent="0.3">
      <c r="A64" s="1032" t="s">
        <v>224</v>
      </c>
      <c r="B64" s="220">
        <v>2015</v>
      </c>
      <c r="C64" s="221"/>
      <c r="D64" s="221"/>
      <c r="E64" s="221"/>
      <c r="F64" s="221"/>
      <c r="G64" s="221"/>
      <c r="H64" s="222"/>
      <c r="I64" s="207"/>
      <c r="J64" s="208">
        <f t="shared" ref="J64:J69" si="12">SUM(C64:H64)</f>
        <v>0</v>
      </c>
      <c r="K64" s="207"/>
      <c r="L64" s="223">
        <f t="shared" ref="L64:L69" si="13">SUM(J51,J64)</f>
        <v>0</v>
      </c>
      <c r="M64" s="187"/>
      <c r="N64" s="187"/>
      <c r="O64" s="187"/>
      <c r="P64" s="187"/>
      <c r="Q64" s="187"/>
      <c r="R64" s="187"/>
      <c r="S64" s="187"/>
      <c r="T64" s="187"/>
      <c r="U64" s="187"/>
      <c r="V64" s="187"/>
      <c r="W64" s="187"/>
      <c r="X64" s="187"/>
      <c r="Y64" s="187"/>
      <c r="Z64" s="187"/>
      <c r="AA64" s="187"/>
      <c r="AB64" s="187"/>
      <c r="AC64" s="187"/>
    </row>
    <row r="65" spans="1:29" s="190" customFormat="1" ht="12.75" customHeight="1" x14ac:dyDescent="0.3">
      <c r="A65" s="1033"/>
      <c r="B65" s="220">
        <v>2016</v>
      </c>
      <c r="C65" s="221"/>
      <c r="D65" s="221"/>
      <c r="E65" s="221"/>
      <c r="F65" s="221"/>
      <c r="G65" s="221"/>
      <c r="H65" s="224"/>
      <c r="I65" s="207"/>
      <c r="J65" s="208">
        <f t="shared" si="12"/>
        <v>0</v>
      </c>
      <c r="K65" s="207"/>
      <c r="L65" s="223">
        <f t="shared" si="13"/>
        <v>0</v>
      </c>
      <c r="M65" s="187"/>
      <c r="N65" s="187"/>
      <c r="O65" s="187"/>
      <c r="P65" s="187"/>
      <c r="Q65" s="187"/>
      <c r="R65" s="187"/>
      <c r="S65" s="187"/>
      <c r="T65" s="187"/>
      <c r="U65" s="187"/>
      <c r="V65" s="187"/>
      <c r="W65" s="187"/>
      <c r="X65" s="187"/>
      <c r="Y65" s="187"/>
      <c r="Z65" s="187"/>
      <c r="AA65" s="187"/>
      <c r="AB65" s="187"/>
      <c r="AC65" s="187"/>
    </row>
    <row r="66" spans="1:29" s="190" customFormat="1" ht="12.75" customHeight="1" x14ac:dyDescent="0.3">
      <c r="A66" s="1033" t="s">
        <v>36</v>
      </c>
      <c r="B66" s="220">
        <v>2017</v>
      </c>
      <c r="C66" s="469">
        <v>0</v>
      </c>
      <c r="D66" s="221"/>
      <c r="E66" s="221"/>
      <c r="F66" s="221"/>
      <c r="G66" s="221"/>
      <c r="H66" s="224"/>
      <c r="I66" s="207"/>
      <c r="J66" s="208">
        <f t="shared" si="12"/>
        <v>0</v>
      </c>
      <c r="K66" s="207"/>
      <c r="L66" s="223">
        <f t="shared" si="13"/>
        <v>0</v>
      </c>
      <c r="M66" s="187"/>
      <c r="N66" s="187"/>
      <c r="O66" s="187"/>
      <c r="P66" s="187"/>
      <c r="Q66" s="187"/>
      <c r="R66" s="187"/>
      <c r="S66" s="187"/>
      <c r="T66" s="187"/>
      <c r="U66" s="187"/>
      <c r="V66" s="187"/>
      <c r="W66" s="187"/>
      <c r="X66" s="187"/>
      <c r="Y66" s="187"/>
      <c r="Z66" s="187"/>
      <c r="AA66" s="187"/>
      <c r="AB66" s="187"/>
      <c r="AC66" s="187"/>
    </row>
    <row r="67" spans="1:29" s="190" customFormat="1" ht="12.75" customHeight="1" x14ac:dyDescent="0.3">
      <c r="A67" s="1033"/>
      <c r="B67" s="220">
        <v>2018</v>
      </c>
      <c r="C67" s="469">
        <v>0</v>
      </c>
      <c r="D67" s="469">
        <v>0</v>
      </c>
      <c r="E67" s="221"/>
      <c r="F67" s="221"/>
      <c r="G67" s="221"/>
      <c r="H67" s="224"/>
      <c r="I67" s="207"/>
      <c r="J67" s="208">
        <f t="shared" si="12"/>
        <v>0</v>
      </c>
      <c r="K67" s="207"/>
      <c r="L67" s="223">
        <f t="shared" si="13"/>
        <v>0</v>
      </c>
      <c r="M67" s="197" t="s">
        <v>38</v>
      </c>
      <c r="N67" s="187"/>
      <c r="O67" s="187"/>
      <c r="P67" s="187"/>
      <c r="Q67" s="187"/>
      <c r="R67" s="187"/>
      <c r="S67" s="187"/>
      <c r="T67" s="187"/>
      <c r="U67" s="187"/>
      <c r="V67" s="187"/>
      <c r="W67" s="187"/>
      <c r="X67" s="187"/>
      <c r="Y67" s="187"/>
      <c r="Z67" s="187"/>
      <c r="AA67" s="187"/>
      <c r="AB67" s="187"/>
      <c r="AC67" s="187"/>
    </row>
    <row r="68" spans="1:29" s="190" customFormat="1" ht="12.75" customHeight="1" x14ac:dyDescent="0.3">
      <c r="A68" s="1033" t="s">
        <v>37</v>
      </c>
      <c r="B68" s="220">
        <v>2019</v>
      </c>
      <c r="C68" s="469">
        <v>0</v>
      </c>
      <c r="D68" s="469">
        <v>0</v>
      </c>
      <c r="E68" s="469">
        <v>0</v>
      </c>
      <c r="F68" s="221"/>
      <c r="G68" s="221"/>
      <c r="H68" s="224"/>
      <c r="I68" s="207"/>
      <c r="J68" s="208">
        <f t="shared" si="12"/>
        <v>0</v>
      </c>
      <c r="K68" s="207"/>
      <c r="L68" s="223">
        <f t="shared" si="13"/>
        <v>0</v>
      </c>
      <c r="M68" s="197" t="s">
        <v>39</v>
      </c>
      <c r="N68" s="187"/>
      <c r="O68" s="187"/>
      <c r="P68" s="187"/>
      <c r="Q68" s="187"/>
      <c r="R68" s="187"/>
      <c r="S68" s="187"/>
      <c r="T68" s="187"/>
      <c r="U68" s="187"/>
      <c r="V68" s="187"/>
      <c r="W68" s="187"/>
      <c r="X68" s="187"/>
      <c r="Y68" s="187"/>
      <c r="Z68" s="187"/>
      <c r="AA68" s="187"/>
      <c r="AB68" s="187"/>
      <c r="AC68" s="187"/>
    </row>
    <row r="69" spans="1:29" s="190" customFormat="1" ht="12.75" customHeight="1" x14ac:dyDescent="0.3">
      <c r="A69" s="1033"/>
      <c r="B69" s="220">
        <v>2020</v>
      </c>
      <c r="C69" s="469">
        <v>0</v>
      </c>
      <c r="D69" s="469">
        <v>0</v>
      </c>
      <c r="E69" s="469">
        <v>0</v>
      </c>
      <c r="F69" s="469">
        <v>0</v>
      </c>
      <c r="G69" s="221"/>
      <c r="H69" s="224"/>
      <c r="I69" s="207"/>
      <c r="J69" s="208">
        <f t="shared" si="12"/>
        <v>0</v>
      </c>
      <c r="K69" s="207"/>
      <c r="L69" s="223">
        <f t="shared" si="13"/>
        <v>0</v>
      </c>
      <c r="M69" s="197"/>
      <c r="N69" s="187"/>
      <c r="O69" s="187"/>
      <c r="P69" s="187"/>
      <c r="Q69" s="187"/>
      <c r="R69" s="187"/>
      <c r="S69" s="187"/>
      <c r="T69" s="187"/>
      <c r="U69" s="187"/>
      <c r="V69" s="187"/>
      <c r="W69" s="187"/>
      <c r="X69" s="187"/>
      <c r="Y69" s="187"/>
      <c r="Z69" s="187"/>
      <c r="AA69" s="187"/>
      <c r="AB69" s="187"/>
      <c r="AC69" s="187"/>
    </row>
    <row r="70" spans="1:29" s="199" customFormat="1" ht="15.5" x14ac:dyDescent="0.35">
      <c r="A70" s="1034"/>
      <c r="B70" s="212" t="s">
        <v>33</v>
      </c>
      <c r="C70" s="225">
        <f t="shared" ref="C70:H70" si="14">SUM(C64:C69)</f>
        <v>0</v>
      </c>
      <c r="D70" s="225">
        <f t="shared" si="14"/>
        <v>0</v>
      </c>
      <c r="E70" s="225">
        <f t="shared" si="14"/>
        <v>0</v>
      </c>
      <c r="F70" s="225">
        <f t="shared" si="14"/>
        <v>0</v>
      </c>
      <c r="G70" s="225">
        <f t="shared" si="14"/>
        <v>0</v>
      </c>
      <c r="H70" s="225">
        <f t="shared" si="14"/>
        <v>0</v>
      </c>
      <c r="I70" s="207"/>
      <c r="J70" s="216">
        <f>SUM(J64:J69)</f>
        <v>0</v>
      </c>
      <c r="K70" s="215"/>
      <c r="L70" s="216">
        <f>SUM(L64:L69)</f>
        <v>0</v>
      </c>
      <c r="M70" s="198"/>
      <c r="N70" s="198"/>
      <c r="O70" s="198"/>
      <c r="P70" s="198"/>
      <c r="Q70" s="198"/>
      <c r="R70" s="198"/>
      <c r="S70" s="198"/>
      <c r="T70" s="198"/>
      <c r="U70" s="198"/>
      <c r="V70" s="198"/>
      <c r="W70" s="198"/>
      <c r="X70" s="198"/>
      <c r="Y70" s="198"/>
      <c r="Z70" s="198"/>
      <c r="AA70" s="198"/>
      <c r="AB70" s="198"/>
      <c r="AC70" s="198"/>
    </row>
    <row r="71" spans="1:29" x14ac:dyDescent="0.25">
      <c r="I71" s="207"/>
    </row>
    <row r="73" spans="1:29" ht="13" thickBot="1" x14ac:dyDescent="0.3"/>
    <row r="74" spans="1:29" s="190" customFormat="1" ht="16" thickBot="1" x14ac:dyDescent="0.4">
      <c r="A74" s="1110" t="s">
        <v>40</v>
      </c>
      <c r="B74" s="1111"/>
      <c r="C74" s="1111"/>
      <c r="D74" s="1111"/>
      <c r="E74" s="1111"/>
      <c r="F74" s="1111"/>
      <c r="G74" s="1111"/>
      <c r="H74" s="1111"/>
      <c r="I74" s="1111"/>
      <c r="J74" s="1112"/>
      <c r="L74" s="187"/>
      <c r="M74" s="187"/>
      <c r="N74" s="187"/>
      <c r="O74" s="187"/>
      <c r="P74" s="187"/>
      <c r="Q74" s="187"/>
      <c r="R74" s="187"/>
      <c r="S74" s="187"/>
      <c r="T74" s="187"/>
      <c r="U74" s="187"/>
      <c r="V74" s="187"/>
      <c r="W74" s="187"/>
      <c r="X74" s="187"/>
      <c r="Y74" s="187"/>
      <c r="Z74" s="187"/>
      <c r="AA74" s="187"/>
      <c r="AB74" s="187"/>
      <c r="AC74" s="187"/>
    </row>
    <row r="76" spans="1:29" ht="13" x14ac:dyDescent="0.3">
      <c r="C76" s="194" t="s">
        <v>342</v>
      </c>
    </row>
    <row r="77" spans="1:29" ht="13" x14ac:dyDescent="0.3">
      <c r="C77" s="194" t="s">
        <v>42</v>
      </c>
    </row>
    <row r="78" spans="1:29" ht="16.5" x14ac:dyDescent="0.35">
      <c r="C78" s="1023" t="s">
        <v>41</v>
      </c>
      <c r="D78" s="1024"/>
      <c r="E78" s="1024"/>
      <c r="F78" s="1024"/>
      <c r="G78" s="1024"/>
      <c r="H78" s="1025"/>
    </row>
    <row r="79" spans="1:29" x14ac:dyDescent="0.25">
      <c r="C79" s="202">
        <v>2015</v>
      </c>
      <c r="D79" s="202">
        <v>2016</v>
      </c>
      <c r="E79" s="202">
        <v>2017</v>
      </c>
      <c r="F79" s="202">
        <v>2018</v>
      </c>
      <c r="G79" s="202">
        <v>2019</v>
      </c>
      <c r="H79" s="202">
        <v>2020</v>
      </c>
      <c r="J79" s="226" t="s">
        <v>31</v>
      </c>
    </row>
    <row r="80" spans="1:29" x14ac:dyDescent="0.25">
      <c r="A80" s="1026" t="s">
        <v>245</v>
      </c>
      <c r="B80" s="202">
        <v>2015</v>
      </c>
      <c r="C80" s="470">
        <f>+C51</f>
        <v>0</v>
      </c>
      <c r="D80" s="227"/>
      <c r="E80" s="221"/>
      <c r="F80" s="221"/>
      <c r="G80" s="221"/>
      <c r="H80" s="222"/>
      <c r="J80" s="228">
        <f t="shared" ref="J80:J85" si="15">SUM(C80:H80)</f>
        <v>0</v>
      </c>
    </row>
    <row r="81" spans="1:10" x14ac:dyDescent="0.25">
      <c r="A81" s="1027"/>
      <c r="B81" s="202">
        <v>2016</v>
      </c>
      <c r="C81" s="470">
        <f>+C80+C65+C52</f>
        <v>0</v>
      </c>
      <c r="D81" s="470">
        <f>+D52</f>
        <v>0</v>
      </c>
      <c r="E81" s="229"/>
      <c r="F81" s="229"/>
      <c r="G81" s="229"/>
      <c r="H81" s="230"/>
      <c r="J81" s="228">
        <f t="shared" si="15"/>
        <v>0</v>
      </c>
    </row>
    <row r="82" spans="1:10" x14ac:dyDescent="0.25">
      <c r="A82" s="1027"/>
      <c r="B82" s="202">
        <v>2017</v>
      </c>
      <c r="C82" s="470">
        <f>+C81+C66+C53</f>
        <v>0</v>
      </c>
      <c r="D82" s="470">
        <f>+D81+D66+D53</f>
        <v>0</v>
      </c>
      <c r="E82" s="470">
        <f>+E53</f>
        <v>0</v>
      </c>
      <c r="F82" s="229"/>
      <c r="G82" s="229"/>
      <c r="H82" s="230"/>
      <c r="J82" s="228">
        <f t="shared" si="15"/>
        <v>0</v>
      </c>
    </row>
    <row r="83" spans="1:10" x14ac:dyDescent="0.25">
      <c r="A83" s="1027"/>
      <c r="B83" s="202">
        <v>2018</v>
      </c>
      <c r="C83" s="470">
        <f>+C82+C67+C54</f>
        <v>0</v>
      </c>
      <c r="D83" s="470">
        <f>+D82+D67+D54</f>
        <v>0</v>
      </c>
      <c r="E83" s="470">
        <f>+E82+E67+E54</f>
        <v>0</v>
      </c>
      <c r="F83" s="470">
        <f>+F54</f>
        <v>0</v>
      </c>
      <c r="G83" s="229"/>
      <c r="H83" s="230"/>
      <c r="J83" s="228">
        <f t="shared" si="15"/>
        <v>0</v>
      </c>
    </row>
    <row r="84" spans="1:10" x14ac:dyDescent="0.25">
      <c r="A84" s="1027"/>
      <c r="B84" s="202">
        <v>2019</v>
      </c>
      <c r="C84" s="470">
        <f>+C83+C68+C55</f>
        <v>0</v>
      </c>
      <c r="D84" s="470">
        <f>+D83+D68+D55</f>
        <v>0</v>
      </c>
      <c r="E84" s="470">
        <f>+E83+E68+E55</f>
        <v>0</v>
      </c>
      <c r="F84" s="470">
        <f>+F83+F68+F55</f>
        <v>0</v>
      </c>
      <c r="G84" s="470">
        <f>+G55</f>
        <v>0</v>
      </c>
      <c r="H84" s="230"/>
      <c r="J84" s="228">
        <f t="shared" si="15"/>
        <v>0</v>
      </c>
    </row>
    <row r="85" spans="1:10" x14ac:dyDescent="0.25">
      <c r="A85" s="1028"/>
      <c r="B85" s="202">
        <v>2020</v>
      </c>
      <c r="C85" s="470">
        <f>+C84+C69+C56</f>
        <v>0</v>
      </c>
      <c r="D85" s="470">
        <f>+D84+D69+D56</f>
        <v>0</v>
      </c>
      <c r="E85" s="470">
        <f>+E84+E69+E56</f>
        <v>0</v>
      </c>
      <c r="F85" s="470">
        <f>+F84+F69+F56</f>
        <v>0</v>
      </c>
      <c r="G85" s="470">
        <f>+G84+G69+G56</f>
        <v>0</v>
      </c>
      <c r="H85" s="470">
        <f>+H56</f>
        <v>0</v>
      </c>
      <c r="J85" s="228">
        <f t="shared" si="15"/>
        <v>0</v>
      </c>
    </row>
    <row r="86" spans="1:10" ht="14.5" x14ac:dyDescent="0.35">
      <c r="A86" s="231"/>
      <c r="C86" s="194"/>
    </row>
    <row r="87" spans="1:10" ht="13" x14ac:dyDescent="0.3">
      <c r="C87" s="194"/>
    </row>
    <row r="88" spans="1:10" ht="13" x14ac:dyDescent="0.3">
      <c r="C88" s="194"/>
    </row>
  </sheetData>
  <customSheetViews>
    <customSheetView guid="{C8C7977F-B6BF-432B-A1A7-559450D521AF}" scale="80">
      <selection sqref="A1:J1"/>
      <pageMargins left="0.78740157480314965" right="0.78740157480314965" top="0.98425196850393704" bottom="0.98425196850393704" header="0.51181102362204722" footer="0.51181102362204722"/>
      <pageSetup paperSize="8" scale="70" orientation="landscape" r:id="rId1"/>
      <headerFooter alignWithMargins="0">
        <oddFooter>&amp;CPage &amp;P</oddFooter>
      </headerFooter>
    </customSheetView>
  </customSheetViews>
  <mergeCells count="41">
    <mergeCell ref="A80:A85"/>
    <mergeCell ref="A50:B50"/>
    <mergeCell ref="A51:A57"/>
    <mergeCell ref="C62:H62"/>
    <mergeCell ref="A64:A70"/>
    <mergeCell ref="C78:H78"/>
    <mergeCell ref="A74:J74"/>
    <mergeCell ref="K45:L45"/>
    <mergeCell ref="A45:J45"/>
    <mergeCell ref="A9:B9"/>
    <mergeCell ref="A10:B10"/>
    <mergeCell ref="A13:B13"/>
    <mergeCell ref="C49:H49"/>
    <mergeCell ref="A7:B7"/>
    <mergeCell ref="A8:B8"/>
    <mergeCell ref="A16:B16"/>
    <mergeCell ref="A24:B24"/>
    <mergeCell ref="C38:H38"/>
    <mergeCell ref="A25:B25"/>
    <mergeCell ref="A30:B30"/>
    <mergeCell ref="A11:B11"/>
    <mergeCell ref="A12:B12"/>
    <mergeCell ref="A23:B23"/>
    <mergeCell ref="A26:B26"/>
    <mergeCell ref="A28:B28"/>
    <mergeCell ref="A1:J1"/>
    <mergeCell ref="C5:H5"/>
    <mergeCell ref="C6:H6"/>
    <mergeCell ref="C4:H4"/>
    <mergeCell ref="A36:J36"/>
    <mergeCell ref="A14:B14"/>
    <mergeCell ref="A15:B15"/>
    <mergeCell ref="A17:B17"/>
    <mergeCell ref="A18:B18"/>
    <mergeCell ref="A27:B27"/>
    <mergeCell ref="A29:B29"/>
    <mergeCell ref="A31:B31"/>
    <mergeCell ref="A19:B19"/>
    <mergeCell ref="A20:B20"/>
    <mergeCell ref="A21:B21"/>
    <mergeCell ref="A22:B22"/>
  </mergeCells>
  <conditionalFormatting sqref="C12:H13 C20:H21 C28:H29">
    <cfRule type="expression" dxfId="62" priority="21" stopIfTrue="1">
      <formula>$C$5="gas"</formula>
    </cfRule>
  </conditionalFormatting>
  <conditionalFormatting sqref="C14:H14 C22:H22 C30:H30">
    <cfRule type="expression" dxfId="61" priority="20" stopIfTrue="1">
      <formula>$C$5="elektriciteit"</formula>
    </cfRule>
  </conditionalFormatting>
  <conditionalFormatting sqref="E7:E31">
    <cfRule type="expression" dxfId="60" priority="6" stopIfTrue="1">
      <formula>OR($E$7&gt;$N$3,$N$3&amp;$O$3=$E$7&amp;"ex-ante",$N$3&amp;$O$3=$E$3&amp;"ex-ante")</formula>
    </cfRule>
  </conditionalFormatting>
  <conditionalFormatting sqref="F7:F31">
    <cfRule type="expression" dxfId="59" priority="5" stopIfTrue="1">
      <formula>OR($F$7&gt;$N$3,$N$3&amp;$O$3=$F$7&amp;"ex-ante",$N$3&amp;$O$3=$F$3&amp;"ex-ante")</formula>
    </cfRule>
  </conditionalFormatting>
  <conditionalFormatting sqref="G7:G31">
    <cfRule type="expression" dxfId="58" priority="4" stopIfTrue="1">
      <formula>OR($G$7&gt;$N$3,$N$3&amp;$O$3=$G$7&amp;"ex-ante",$N$3&amp;$O$3=$G$3&amp;"ex-ante")</formula>
    </cfRule>
  </conditionalFormatting>
  <conditionalFormatting sqref="H7:H31">
    <cfRule type="expression" dxfId="57" priority="3" stopIfTrue="1">
      <formula>OR($H$7&gt;$N$3,$N$3&amp;$O$3=$H$7&amp;"ex-ante",$N$3&amp;$O$3=$H$3&amp;"ex-ante")</formula>
    </cfRule>
  </conditionalFormatting>
  <conditionalFormatting sqref="D7:D31">
    <cfRule type="expression" dxfId="56" priority="2" stopIfTrue="1">
      <formula>OR($D$7&gt;$N$3,$N$3&amp;$O$3=$D$7&amp;"ex-ante",$N$3&amp;$O$3=$D$3&amp;"ex-ante")</formula>
    </cfRule>
  </conditionalFormatting>
  <conditionalFormatting sqref="C7:C31">
    <cfRule type="expression" dxfId="55" priority="1" stopIfTrue="1">
      <formula>OR($C$7&gt;$N$3,$N$3&amp;$O$3=$C$7&amp;"ex-ante",$N$3&amp;$O$3=$C$3&amp;"ex-ante")</formula>
    </cfRule>
  </conditionalFormatting>
  <pageMargins left="0.78740157480314965" right="0.78740157480314965" top="0.98425196850393704" bottom="0.98425196850393704" header="0.51181102362204722" footer="0.51181102362204722"/>
  <pageSetup paperSize="8" scale="56" orientation="portrait" r:id="rId2"/>
  <headerFooter alignWithMargins="0">
    <oddFooter>&amp;CPage &amp;P</oddFooter>
  </headerFooter>
  <ignoredErrors>
    <ignoredError sqref="J63 L63" numberStoredAsText="1"/>
    <ignoredError sqref="J64:J69" numberStoredAsText="1" formulaRange="1"/>
    <ignoredError sqref="C70:H70" formulaRange="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Q453"/>
  <sheetViews>
    <sheetView topLeftCell="A115" zoomScale="80" zoomScaleNormal="80" workbookViewId="0">
      <selection activeCell="B129" sqref="B129:E129"/>
    </sheetView>
  </sheetViews>
  <sheetFormatPr defaultColWidth="9.1796875" defaultRowHeight="12.5" x14ac:dyDescent="0.25"/>
  <cols>
    <col min="1" max="1" width="4.1796875" style="20" customWidth="1"/>
    <col min="2" max="2" width="9.1796875" style="20"/>
    <col min="3" max="3" width="15.54296875" style="20" customWidth="1"/>
    <col min="4" max="4" width="12.54296875" style="20" customWidth="1"/>
    <col min="5" max="5" width="24.26953125" style="20" customWidth="1"/>
    <col min="6" max="6" width="10.453125" style="20" customWidth="1"/>
    <col min="7" max="7" width="49.1796875" style="20" customWidth="1"/>
    <col min="8" max="9" width="41.81640625" style="20" customWidth="1"/>
    <col min="10" max="10" width="42" style="20" customWidth="1"/>
    <col min="11" max="12" width="43.453125" style="20" customWidth="1"/>
    <col min="13" max="13" width="2.7265625" style="394" customWidth="1"/>
    <col min="14" max="14" width="43.453125" style="20" customWidth="1"/>
    <col min="15" max="16384" width="9.1796875" style="20"/>
  </cols>
  <sheetData>
    <row r="1" spans="1:17" ht="42" customHeight="1" thickBot="1" x14ac:dyDescent="0.45">
      <c r="A1" s="1113" t="s">
        <v>246</v>
      </c>
      <c r="B1" s="1114"/>
      <c r="C1" s="1114"/>
      <c r="D1" s="1114"/>
      <c r="E1" s="1114"/>
      <c r="F1" s="1114"/>
      <c r="G1" s="1114"/>
      <c r="H1" s="1114"/>
      <c r="I1" s="1114"/>
      <c r="J1" s="1115"/>
      <c r="K1" s="380"/>
      <c r="L1" s="593" t="str">
        <f>+TITELBLAD!F18</f>
        <v>ex-ante</v>
      </c>
      <c r="M1" s="593"/>
      <c r="N1" s="593">
        <f>+TITELBLAD!H18</f>
        <v>0</v>
      </c>
      <c r="O1" s="106"/>
      <c r="P1" s="106"/>
      <c r="Q1" s="106"/>
    </row>
    <row r="2" spans="1:17" ht="13" x14ac:dyDescent="0.3">
      <c r="B2" s="394" t="str">
        <f>+TITELBLAD!B18</f>
        <v>Rapportering over boekjaar:</v>
      </c>
      <c r="C2" s="394"/>
      <c r="D2" s="394">
        <f>+TITELBLAD!E18</f>
        <v>2019</v>
      </c>
      <c r="E2" s="394" t="str">
        <f>+TITELBLAD!F18</f>
        <v>ex-ante</v>
      </c>
      <c r="H2" s="194"/>
      <c r="I2" s="188"/>
      <c r="J2" s="188"/>
      <c r="K2" s="188"/>
      <c r="L2" s="491"/>
      <c r="N2" s="491"/>
    </row>
    <row r="3" spans="1:17" ht="13.5" thickBot="1" x14ac:dyDescent="0.35">
      <c r="B3" s="107" t="s">
        <v>26</v>
      </c>
      <c r="H3" s="194"/>
      <c r="I3" s="188"/>
      <c r="J3" s="188"/>
      <c r="K3" s="188"/>
      <c r="L3" s="491"/>
      <c r="N3" s="491"/>
    </row>
    <row r="4" spans="1:17" ht="13.5" thickBot="1" x14ac:dyDescent="0.35">
      <c r="B4" s="995" t="str">
        <f>+TITELBLAD!C7</f>
        <v>Naam distributienetbeheerder</v>
      </c>
      <c r="C4" s="996"/>
      <c r="D4" s="996"/>
      <c r="E4" s="997"/>
      <c r="H4" s="194"/>
      <c r="I4" s="188"/>
      <c r="J4" s="188"/>
      <c r="K4" s="188"/>
      <c r="L4" s="188"/>
      <c r="N4" s="188"/>
    </row>
    <row r="5" spans="1:17" ht="13" x14ac:dyDescent="0.3">
      <c r="H5" s="194"/>
      <c r="I5" s="188"/>
      <c r="J5" s="188"/>
      <c r="K5" s="188"/>
      <c r="L5" s="188"/>
      <c r="N5" s="188"/>
    </row>
    <row r="6" spans="1:17" ht="13.5" thickBot="1" x14ac:dyDescent="0.35">
      <c r="B6" s="107" t="s">
        <v>27</v>
      </c>
      <c r="H6" s="194"/>
      <c r="I6" s="188"/>
      <c r="J6" s="188"/>
      <c r="K6" s="188"/>
      <c r="L6" s="188"/>
      <c r="N6" s="188"/>
    </row>
    <row r="7" spans="1:17" ht="13.5" thickBot="1" x14ac:dyDescent="0.35">
      <c r="B7" s="998" t="str">
        <f>+TITELBLAD!C12</f>
        <v>elektriciteit</v>
      </c>
      <c r="C7" s="999"/>
      <c r="D7" s="999"/>
      <c r="E7" s="1000"/>
      <c r="H7" s="194"/>
      <c r="I7" s="188"/>
      <c r="J7" s="188"/>
      <c r="K7" s="188"/>
      <c r="L7" s="188"/>
      <c r="N7" s="188"/>
    </row>
    <row r="8" spans="1:17" ht="13" x14ac:dyDescent="0.3">
      <c r="H8" s="194"/>
      <c r="I8" s="188"/>
      <c r="J8" s="188"/>
      <c r="K8" s="188"/>
      <c r="L8" s="188"/>
      <c r="N8" s="188"/>
    </row>
    <row r="11" spans="1:17" ht="13" x14ac:dyDescent="0.3">
      <c r="G11" s="434" t="s">
        <v>343</v>
      </c>
      <c r="H11" s="383"/>
      <c r="I11" s="382"/>
    </row>
    <row r="12" spans="1:17" ht="13" x14ac:dyDescent="0.3">
      <c r="G12" s="197" t="s">
        <v>258</v>
      </c>
      <c r="H12" s="383"/>
      <c r="I12" s="382"/>
    </row>
    <row r="13" spans="1:17" s="48" customFormat="1" ht="60" customHeight="1" x14ac:dyDescent="0.25">
      <c r="B13" s="1060" t="s">
        <v>250</v>
      </c>
      <c r="C13" s="1061"/>
      <c r="D13" s="1061"/>
      <c r="E13" s="1062"/>
      <c r="F13" s="162"/>
      <c r="G13" s="675">
        <v>2015</v>
      </c>
      <c r="H13" s="675">
        <f>+G13+1</f>
        <v>2016</v>
      </c>
      <c r="I13" s="675">
        <f>+H13+1</f>
        <v>2017</v>
      </c>
      <c r="J13" s="675">
        <f>+I13+1</f>
        <v>2018</v>
      </c>
      <c r="K13" s="675">
        <f>+J13+1</f>
        <v>2019</v>
      </c>
      <c r="L13" s="675">
        <f>+K13+1</f>
        <v>2020</v>
      </c>
      <c r="M13" s="483"/>
      <c r="N13" s="675" t="s">
        <v>31</v>
      </c>
    </row>
    <row r="14" spans="1:17" s="130" customFormat="1" ht="12" customHeight="1" x14ac:dyDescent="0.25">
      <c r="B14" s="384"/>
      <c r="C14" s="384"/>
      <c r="D14" s="384"/>
      <c r="E14" s="384"/>
      <c r="F14" s="385"/>
      <c r="G14" s="386"/>
      <c r="H14" s="387"/>
      <c r="I14" s="387"/>
      <c r="M14" s="846"/>
    </row>
    <row r="15" spans="1:17" s="685" customFormat="1" ht="28.5" customHeight="1" x14ac:dyDescent="0.25">
      <c r="B15" s="1081" t="s">
        <v>131</v>
      </c>
      <c r="C15" s="1081"/>
      <c r="D15" s="1081"/>
      <c r="E15" s="1081"/>
      <c r="F15" s="688"/>
      <c r="G15" s="840">
        <f>+T5A!C25</f>
        <v>0</v>
      </c>
      <c r="H15" s="840">
        <f>+T5A!D25</f>
        <v>0</v>
      </c>
      <c r="I15" s="840">
        <f>+T5A!E25</f>
        <v>0</v>
      </c>
      <c r="J15" s="840">
        <f>+T5A!F25</f>
        <v>0</v>
      </c>
      <c r="K15" s="840">
        <f>+T5A!G25</f>
        <v>0</v>
      </c>
      <c r="L15" s="840">
        <f>+T5A!H25</f>
        <v>0</v>
      </c>
      <c r="M15" s="847"/>
      <c r="N15" s="842">
        <f>SUM(G15:L15)</f>
        <v>0</v>
      </c>
    </row>
    <row r="16" spans="1:17" s="685" customFormat="1" ht="26.25" customHeight="1" x14ac:dyDescent="0.25">
      <c r="B16" s="1081" t="s">
        <v>132</v>
      </c>
      <c r="C16" s="1081"/>
      <c r="D16" s="1081"/>
      <c r="E16" s="1081"/>
      <c r="F16" s="688"/>
      <c r="G16" s="840">
        <f>+T5A!C26</f>
        <v>0</v>
      </c>
      <c r="H16" s="840">
        <f>+T5A!D26</f>
        <v>0</v>
      </c>
      <c r="I16" s="840">
        <f>+T5A!E26</f>
        <v>0</v>
      </c>
      <c r="J16" s="840">
        <f>+T5A!F26</f>
        <v>0</v>
      </c>
      <c r="K16" s="840">
        <f>+T5A!G26</f>
        <v>0</v>
      </c>
      <c r="L16" s="840">
        <f>+T5A!H26</f>
        <v>0</v>
      </c>
      <c r="M16" s="847"/>
      <c r="N16" s="842">
        <f t="shared" ref="N16:N21" si="0">SUM(G16:L16)</f>
        <v>0</v>
      </c>
    </row>
    <row r="17" spans="2:14" s="685" customFormat="1" ht="24.75" customHeight="1" x14ac:dyDescent="0.25">
      <c r="B17" s="1081" t="s">
        <v>133</v>
      </c>
      <c r="C17" s="1081"/>
      <c r="D17" s="1081"/>
      <c r="E17" s="1081"/>
      <c r="F17" s="688"/>
      <c r="G17" s="840">
        <f>+T5A!C27</f>
        <v>0</v>
      </c>
      <c r="H17" s="840">
        <f>+T5A!D27</f>
        <v>0</v>
      </c>
      <c r="I17" s="840">
        <f>+T5A!E27</f>
        <v>0</v>
      </c>
      <c r="J17" s="840">
        <f>+T5A!F27</f>
        <v>0</v>
      </c>
      <c r="K17" s="840">
        <f>+T5A!G27</f>
        <v>0</v>
      </c>
      <c r="L17" s="840">
        <f>+T5A!H27</f>
        <v>0</v>
      </c>
      <c r="M17" s="847"/>
      <c r="N17" s="842">
        <f t="shared" si="0"/>
        <v>0</v>
      </c>
    </row>
    <row r="18" spans="2:14" s="685" customFormat="1" ht="27" customHeight="1" x14ac:dyDescent="0.25">
      <c r="B18" s="1081" t="s">
        <v>239</v>
      </c>
      <c r="C18" s="1081"/>
      <c r="D18" s="1081"/>
      <c r="E18" s="1081"/>
      <c r="F18" s="688"/>
      <c r="G18" s="840">
        <f>+T5A!C28</f>
        <v>0</v>
      </c>
      <c r="H18" s="840">
        <f>+T5A!D28</f>
        <v>0</v>
      </c>
      <c r="I18" s="840">
        <f>+T5A!E28</f>
        <v>0</v>
      </c>
      <c r="J18" s="840">
        <f>+T5A!F28</f>
        <v>0</v>
      </c>
      <c r="K18" s="840">
        <f>+T5A!G28</f>
        <v>0</v>
      </c>
      <c r="L18" s="840">
        <f>+T5A!H28</f>
        <v>0</v>
      </c>
      <c r="M18" s="847"/>
      <c r="N18" s="842">
        <f t="shared" si="0"/>
        <v>0</v>
      </c>
    </row>
    <row r="19" spans="2:14" s="685" customFormat="1" ht="18.75" customHeight="1" x14ac:dyDescent="0.25">
      <c r="B19" s="1081" t="s">
        <v>237</v>
      </c>
      <c r="C19" s="1081"/>
      <c r="D19" s="1081"/>
      <c r="E19" s="1081"/>
      <c r="F19" s="688"/>
      <c r="G19" s="840">
        <f>+T5A!C29</f>
        <v>0</v>
      </c>
      <c r="H19" s="840">
        <f>+T5A!D29</f>
        <v>0</v>
      </c>
      <c r="I19" s="840">
        <f>+T5A!E29</f>
        <v>0</v>
      </c>
      <c r="J19" s="840">
        <f>+T5A!F29</f>
        <v>0</v>
      </c>
      <c r="K19" s="840">
        <f>+T5A!G29</f>
        <v>0</v>
      </c>
      <c r="L19" s="840">
        <f>+T5A!H29</f>
        <v>0</v>
      </c>
      <c r="M19" s="847"/>
      <c r="N19" s="842">
        <f t="shared" si="0"/>
        <v>0</v>
      </c>
    </row>
    <row r="20" spans="2:14" s="685" customFormat="1" ht="26.25" customHeight="1" x14ac:dyDescent="0.25">
      <c r="B20" s="1081" t="s">
        <v>287</v>
      </c>
      <c r="C20" s="1081"/>
      <c r="D20" s="1081"/>
      <c r="E20" s="1081"/>
      <c r="F20" s="688"/>
      <c r="G20" s="840">
        <f>+T5A!C30</f>
        <v>0</v>
      </c>
      <c r="H20" s="840">
        <f>+T5A!D30</f>
        <v>0</v>
      </c>
      <c r="I20" s="840">
        <f>+T5A!E30</f>
        <v>0</v>
      </c>
      <c r="J20" s="840">
        <f>+T5A!F30</f>
        <v>0</v>
      </c>
      <c r="K20" s="840">
        <f>+T5A!G30</f>
        <v>0</v>
      </c>
      <c r="L20" s="840">
        <f>+T5A!H30</f>
        <v>0</v>
      </c>
      <c r="M20" s="847"/>
      <c r="N20" s="842">
        <f t="shared" si="0"/>
        <v>0</v>
      </c>
    </row>
    <row r="21" spans="2:14" s="685" customFormat="1" ht="28.5" customHeight="1" x14ac:dyDescent="0.25">
      <c r="B21" s="1082" t="s">
        <v>134</v>
      </c>
      <c r="C21" s="1083"/>
      <c r="D21" s="1083"/>
      <c r="E21" s="1084"/>
      <c r="F21" s="688"/>
      <c r="G21" s="840">
        <f>+T5A!C31</f>
        <v>0</v>
      </c>
      <c r="H21" s="840">
        <f>+T5A!D31</f>
        <v>0</v>
      </c>
      <c r="I21" s="840">
        <f>+T5A!E31</f>
        <v>0</v>
      </c>
      <c r="J21" s="840">
        <f>+T5A!F31</f>
        <v>0</v>
      </c>
      <c r="K21" s="840">
        <f>+T5A!G31</f>
        <v>0</v>
      </c>
      <c r="L21" s="840">
        <f>+T5A!H31</f>
        <v>0</v>
      </c>
      <c r="M21" s="847"/>
      <c r="N21" s="842">
        <f t="shared" si="0"/>
        <v>0</v>
      </c>
    </row>
    <row r="22" spans="2:14" x14ac:dyDescent="0.25">
      <c r="B22" s="48"/>
      <c r="C22" s="48"/>
      <c r="D22" s="48"/>
      <c r="E22" s="48"/>
      <c r="F22" s="48"/>
      <c r="G22" s="678"/>
      <c r="H22" s="678"/>
      <c r="I22" s="678"/>
      <c r="J22" s="678"/>
      <c r="K22" s="678"/>
      <c r="L22" s="678"/>
      <c r="N22" s="678"/>
    </row>
    <row r="23" spans="2:14" s="685" customFormat="1" ht="23.25" customHeight="1" x14ac:dyDescent="0.25">
      <c r="B23" s="1071" t="s">
        <v>33</v>
      </c>
      <c r="C23" s="1072"/>
      <c r="D23" s="1072"/>
      <c r="E23" s="1073"/>
      <c r="F23" s="700"/>
      <c r="G23" s="701">
        <f t="shared" ref="G23:L23" si="1">SUM(G21,G20,G19,G18,G17,G16,G15)</f>
        <v>0</v>
      </c>
      <c r="H23" s="701">
        <f t="shared" si="1"/>
        <v>0</v>
      </c>
      <c r="I23" s="701">
        <f t="shared" si="1"/>
        <v>0</v>
      </c>
      <c r="J23" s="701">
        <f t="shared" si="1"/>
        <v>0</v>
      </c>
      <c r="K23" s="701">
        <f t="shared" si="1"/>
        <v>0</v>
      </c>
      <c r="L23" s="701">
        <f t="shared" si="1"/>
        <v>0</v>
      </c>
      <c r="M23" s="847"/>
      <c r="N23" s="701">
        <f>SUM(G23:L23)</f>
        <v>0</v>
      </c>
    </row>
    <row r="24" spans="2:14" ht="13" x14ac:dyDescent="0.25">
      <c r="B24" s="1066" t="s">
        <v>247</v>
      </c>
      <c r="C24" s="1066"/>
      <c r="D24" s="1066"/>
      <c r="E24" s="1066"/>
      <c r="F24" s="691"/>
      <c r="G24" s="692">
        <f>+G23-T5A!C57</f>
        <v>0</v>
      </c>
      <c r="H24" s="692">
        <f>+H23-T5A!D57</f>
        <v>0</v>
      </c>
      <c r="I24" s="692">
        <f>+I23-T5A!E57</f>
        <v>0</v>
      </c>
      <c r="J24" s="692">
        <f>+J23-T5A!F57</f>
        <v>0</v>
      </c>
      <c r="K24" s="693">
        <f>+K23-T5A!G57</f>
        <v>0</v>
      </c>
      <c r="L24" s="693">
        <f>+L23-T5A!H57</f>
        <v>0</v>
      </c>
      <c r="N24" s="693">
        <f>+N23-T5A!J57</f>
        <v>0</v>
      </c>
    </row>
    <row r="25" spans="2:14" ht="13" x14ac:dyDescent="0.25">
      <c r="B25" s="437"/>
      <c r="C25" s="437"/>
      <c r="D25" s="437"/>
      <c r="E25" s="437"/>
      <c r="F25" s="438"/>
      <c r="G25" s="439"/>
      <c r="H25" s="439"/>
      <c r="I25" s="439"/>
      <c r="J25" s="439"/>
      <c r="K25" s="48"/>
      <c r="L25" s="48"/>
      <c r="N25" s="48"/>
    </row>
    <row r="26" spans="2:14" ht="13" x14ac:dyDescent="0.3">
      <c r="G26" s="435" t="s">
        <v>56</v>
      </c>
    </row>
    <row r="27" spans="2:14" ht="13" x14ac:dyDescent="0.3">
      <c r="G27" s="435" t="s">
        <v>57</v>
      </c>
    </row>
    <row r="28" spans="2:14" s="48" customFormat="1" ht="60" customHeight="1" x14ac:dyDescent="0.25">
      <c r="B28" s="1060" t="s">
        <v>249</v>
      </c>
      <c r="C28" s="1061"/>
      <c r="D28" s="1061"/>
      <c r="E28" s="1062"/>
      <c r="F28" s="162"/>
      <c r="G28" s="675">
        <v>2015</v>
      </c>
      <c r="H28" s="675">
        <f>+G28+1</f>
        <v>2016</v>
      </c>
      <c r="I28" s="675">
        <f>+H28+1</f>
        <v>2017</v>
      </c>
      <c r="J28" s="675">
        <f>+I28+1</f>
        <v>2018</v>
      </c>
      <c r="K28" s="675">
        <f>+J28+1</f>
        <v>2019</v>
      </c>
      <c r="L28" s="675">
        <f>+K28+1</f>
        <v>2020</v>
      </c>
      <c r="M28" s="483"/>
      <c r="N28" s="675" t="s">
        <v>31</v>
      </c>
    </row>
    <row r="29" spans="2:14" s="130" customFormat="1" ht="12" customHeight="1" x14ac:dyDescent="0.25">
      <c r="B29" s="384"/>
      <c r="C29" s="384"/>
      <c r="D29" s="384"/>
      <c r="E29" s="384"/>
      <c r="F29" s="385"/>
      <c r="G29" s="386"/>
      <c r="H29" s="387"/>
      <c r="I29" s="387"/>
      <c r="M29" s="846"/>
    </row>
    <row r="30" spans="2:14" ht="36" customHeight="1" x14ac:dyDescent="0.25">
      <c r="B30" s="1077" t="s">
        <v>131</v>
      </c>
      <c r="C30" s="1078"/>
      <c r="D30" s="1078"/>
      <c r="E30" s="1079"/>
      <c r="F30" s="162"/>
      <c r="G30" s="686"/>
      <c r="H30" s="686"/>
      <c r="I30" s="686"/>
      <c r="J30" s="686"/>
      <c r="K30" s="686"/>
      <c r="L30" s="686"/>
      <c r="N30" s="686"/>
    </row>
    <row r="31" spans="2:14" ht="28.5" customHeight="1" x14ac:dyDescent="0.25">
      <c r="B31" s="1068" t="str">
        <f>"per 31/12/"&amp;$G$13</f>
        <v>per 31/12/2015</v>
      </c>
      <c r="C31" s="1069"/>
      <c r="D31" s="1069"/>
      <c r="E31" s="1070"/>
      <c r="F31" s="162"/>
      <c r="G31" s="684"/>
      <c r="H31" s="684"/>
      <c r="I31" s="684"/>
      <c r="J31" s="684"/>
      <c r="K31" s="684"/>
      <c r="L31" s="684"/>
      <c r="N31" s="679">
        <f t="shared" ref="N31:N36" si="2">SUM(G31:L31)</f>
        <v>0</v>
      </c>
    </row>
    <row r="32" spans="2:14" ht="28.5" customHeight="1" x14ac:dyDescent="0.25">
      <c r="B32" s="1068" t="str">
        <f>"per 31/12/"&amp;$H$13</f>
        <v>per 31/12/2016</v>
      </c>
      <c r="C32" s="1069"/>
      <c r="D32" s="1069"/>
      <c r="E32" s="1070"/>
      <c r="F32" s="162"/>
      <c r="G32" s="684"/>
      <c r="H32" s="684"/>
      <c r="I32" s="684"/>
      <c r="J32" s="684"/>
      <c r="K32" s="684"/>
      <c r="L32" s="684"/>
      <c r="N32" s="679">
        <f t="shared" si="2"/>
        <v>0</v>
      </c>
    </row>
    <row r="33" spans="2:14" ht="28.5" customHeight="1" x14ac:dyDescent="0.25">
      <c r="B33" s="1068" t="str">
        <f>"per 31/12/"&amp;$I$13</f>
        <v>per 31/12/2017</v>
      </c>
      <c r="C33" s="1069"/>
      <c r="D33" s="1069"/>
      <c r="E33" s="1070"/>
      <c r="F33" s="162"/>
      <c r="G33" s="684">
        <f>J175</f>
        <v>0</v>
      </c>
      <c r="H33" s="684"/>
      <c r="I33" s="684"/>
      <c r="J33" s="684"/>
      <c r="K33" s="684"/>
      <c r="L33" s="684"/>
      <c r="N33" s="679">
        <f t="shared" si="2"/>
        <v>0</v>
      </c>
    </row>
    <row r="34" spans="2:14" ht="28.5" customHeight="1" x14ac:dyDescent="0.25">
      <c r="B34" s="1068" t="str">
        <f>"per 31/12/"&amp;$J$13</f>
        <v>per 31/12/2018</v>
      </c>
      <c r="C34" s="1069"/>
      <c r="D34" s="1069"/>
      <c r="E34" s="1070"/>
      <c r="F34" s="162"/>
      <c r="G34" s="684">
        <f>L180</f>
        <v>0</v>
      </c>
      <c r="H34" s="684">
        <f>L181</f>
        <v>0</v>
      </c>
      <c r="I34" s="684"/>
      <c r="J34" s="684"/>
      <c r="K34" s="684"/>
      <c r="L34" s="684"/>
      <c r="N34" s="679">
        <f t="shared" si="2"/>
        <v>0</v>
      </c>
    </row>
    <row r="35" spans="2:14" ht="28.5" customHeight="1" x14ac:dyDescent="0.25">
      <c r="B35" s="1068" t="str">
        <f>"per 31/12/"&amp;$K$13</f>
        <v>per 31/12/2019</v>
      </c>
      <c r="C35" s="1069"/>
      <c r="D35" s="1069"/>
      <c r="E35" s="1070"/>
      <c r="F35" s="162"/>
      <c r="G35" s="684">
        <f>L187</f>
        <v>0</v>
      </c>
      <c r="H35" s="684">
        <f>L188</f>
        <v>0</v>
      </c>
      <c r="I35" s="684">
        <f>L189</f>
        <v>0</v>
      </c>
      <c r="J35" s="684"/>
      <c r="K35" s="684"/>
      <c r="L35" s="684"/>
      <c r="N35" s="679">
        <f t="shared" si="2"/>
        <v>0</v>
      </c>
    </row>
    <row r="36" spans="2:14" ht="28.5" customHeight="1" x14ac:dyDescent="0.25">
      <c r="B36" s="1068" t="str">
        <f>"per 31/12/"&amp;$L$13</f>
        <v>per 31/12/2020</v>
      </c>
      <c r="C36" s="1069"/>
      <c r="D36" s="1069"/>
      <c r="E36" s="1070"/>
      <c r="F36" s="162"/>
      <c r="G36" s="684">
        <f>L195</f>
        <v>0</v>
      </c>
      <c r="H36" s="684">
        <f>L196</f>
        <v>0</v>
      </c>
      <c r="I36" s="684">
        <f>L197</f>
        <v>0</v>
      </c>
      <c r="J36" s="684">
        <f>L198</f>
        <v>0</v>
      </c>
      <c r="K36" s="684"/>
      <c r="L36" s="684"/>
      <c r="N36" s="679">
        <f t="shared" si="2"/>
        <v>0</v>
      </c>
    </row>
    <row r="37" spans="2:14" ht="27.75" customHeight="1" x14ac:dyDescent="0.25">
      <c r="B37" s="1077" t="s">
        <v>132</v>
      </c>
      <c r="C37" s="1078"/>
      <c r="D37" s="1078"/>
      <c r="E37" s="1079"/>
      <c r="F37" s="162"/>
      <c r="G37" s="686"/>
      <c r="H37" s="686"/>
      <c r="I37" s="686"/>
      <c r="J37" s="686"/>
      <c r="K37" s="686"/>
      <c r="L37" s="686"/>
      <c r="N37" s="686"/>
    </row>
    <row r="38" spans="2:14" ht="28.5" customHeight="1" x14ac:dyDescent="0.25">
      <c r="B38" s="1068" t="str">
        <f>"per 31/12/"&amp;$G$13</f>
        <v>per 31/12/2015</v>
      </c>
      <c r="C38" s="1069"/>
      <c r="D38" s="1069"/>
      <c r="E38" s="1070"/>
      <c r="F38" s="162"/>
      <c r="G38" s="684"/>
      <c r="H38" s="684"/>
      <c r="I38" s="684"/>
      <c r="J38" s="684"/>
      <c r="K38" s="684"/>
      <c r="L38" s="684"/>
      <c r="N38" s="679">
        <f t="shared" ref="N38:N43" si="3">SUM(G38:L38)</f>
        <v>0</v>
      </c>
    </row>
    <row r="39" spans="2:14" ht="28.5" customHeight="1" x14ac:dyDescent="0.25">
      <c r="B39" s="1068" t="str">
        <f>"per 31/12/"&amp;$H$13</f>
        <v>per 31/12/2016</v>
      </c>
      <c r="C39" s="1069"/>
      <c r="D39" s="1069"/>
      <c r="E39" s="1070"/>
      <c r="F39" s="162"/>
      <c r="G39" s="684"/>
      <c r="H39" s="684"/>
      <c r="I39" s="684"/>
      <c r="J39" s="684"/>
      <c r="K39" s="684"/>
      <c r="L39" s="684"/>
      <c r="N39" s="679">
        <f t="shared" si="3"/>
        <v>0</v>
      </c>
    </row>
    <row r="40" spans="2:14" ht="28.5" customHeight="1" x14ac:dyDescent="0.25">
      <c r="B40" s="1068" t="str">
        <f>"per 31/12/"&amp;$I$13</f>
        <v>per 31/12/2017</v>
      </c>
      <c r="C40" s="1069"/>
      <c r="D40" s="1069"/>
      <c r="E40" s="1070"/>
      <c r="F40" s="162"/>
      <c r="G40" s="684">
        <f>J215</f>
        <v>0</v>
      </c>
      <c r="H40" s="684"/>
      <c r="I40" s="684"/>
      <c r="J40" s="684"/>
      <c r="K40" s="684"/>
      <c r="L40" s="684"/>
      <c r="N40" s="679">
        <f t="shared" si="3"/>
        <v>0</v>
      </c>
    </row>
    <row r="41" spans="2:14" ht="28.5" customHeight="1" x14ac:dyDescent="0.25">
      <c r="B41" s="1068" t="str">
        <f>"per 31/12/"&amp;$J$13</f>
        <v>per 31/12/2018</v>
      </c>
      <c r="C41" s="1069"/>
      <c r="D41" s="1069"/>
      <c r="E41" s="1070"/>
      <c r="F41" s="162"/>
      <c r="G41" s="684">
        <f>L220</f>
        <v>0</v>
      </c>
      <c r="H41" s="684">
        <f>L221</f>
        <v>0</v>
      </c>
      <c r="I41" s="684"/>
      <c r="J41" s="684"/>
      <c r="K41" s="684"/>
      <c r="L41" s="684"/>
      <c r="N41" s="679">
        <f t="shared" si="3"/>
        <v>0</v>
      </c>
    </row>
    <row r="42" spans="2:14" ht="28.5" customHeight="1" x14ac:dyDescent="0.25">
      <c r="B42" s="1068" t="str">
        <f>"per 31/12/"&amp;$K$13</f>
        <v>per 31/12/2019</v>
      </c>
      <c r="C42" s="1069"/>
      <c r="D42" s="1069"/>
      <c r="E42" s="1070"/>
      <c r="F42" s="162"/>
      <c r="G42" s="684">
        <f>L227</f>
        <v>0</v>
      </c>
      <c r="H42" s="684">
        <f>L228</f>
        <v>0</v>
      </c>
      <c r="I42" s="684">
        <f>L229</f>
        <v>0</v>
      </c>
      <c r="J42" s="684"/>
      <c r="K42" s="684"/>
      <c r="L42" s="684"/>
      <c r="N42" s="679">
        <f t="shared" si="3"/>
        <v>0</v>
      </c>
    </row>
    <row r="43" spans="2:14" ht="28.5" customHeight="1" x14ac:dyDescent="0.25">
      <c r="B43" s="1068" t="str">
        <f>"per 31/12/"&amp;$L$13</f>
        <v>per 31/12/2020</v>
      </c>
      <c r="C43" s="1069"/>
      <c r="D43" s="1069"/>
      <c r="E43" s="1070"/>
      <c r="F43" s="162"/>
      <c r="G43" s="684">
        <f>L235</f>
        <v>0</v>
      </c>
      <c r="H43" s="684">
        <f>L236</f>
        <v>0</v>
      </c>
      <c r="I43" s="684">
        <f>L237</f>
        <v>0</v>
      </c>
      <c r="J43" s="684">
        <f>L238</f>
        <v>0</v>
      </c>
      <c r="K43" s="684"/>
      <c r="L43" s="684"/>
      <c r="N43" s="679">
        <f t="shared" si="3"/>
        <v>0</v>
      </c>
    </row>
    <row r="44" spans="2:14" ht="30" customHeight="1" x14ac:dyDescent="0.25">
      <c r="B44" s="1077" t="s">
        <v>133</v>
      </c>
      <c r="C44" s="1078"/>
      <c r="D44" s="1078"/>
      <c r="E44" s="1079"/>
      <c r="F44" s="162"/>
      <c r="G44" s="686"/>
      <c r="H44" s="686"/>
      <c r="I44" s="686"/>
      <c r="J44" s="686"/>
      <c r="K44" s="686"/>
      <c r="L44" s="686"/>
      <c r="N44" s="686"/>
    </row>
    <row r="45" spans="2:14" ht="28.5" customHeight="1" x14ac:dyDescent="0.25">
      <c r="B45" s="1068" t="str">
        <f>"per 31/12/"&amp;$G$13</f>
        <v>per 31/12/2015</v>
      </c>
      <c r="C45" s="1069"/>
      <c r="D45" s="1069"/>
      <c r="E45" s="1070"/>
      <c r="F45" s="162"/>
      <c r="G45" s="684"/>
      <c r="H45" s="684"/>
      <c r="I45" s="684"/>
      <c r="J45" s="684"/>
      <c r="K45" s="684"/>
      <c r="L45" s="684"/>
      <c r="N45" s="679">
        <f t="shared" ref="N45:N50" si="4">SUM(G45:L45)</f>
        <v>0</v>
      </c>
    </row>
    <row r="46" spans="2:14" ht="28.5" customHeight="1" x14ac:dyDescent="0.25">
      <c r="B46" s="1068" t="str">
        <f>"per 31/12/"&amp;$H$13</f>
        <v>per 31/12/2016</v>
      </c>
      <c r="C46" s="1069"/>
      <c r="D46" s="1069"/>
      <c r="E46" s="1070"/>
      <c r="F46" s="162"/>
      <c r="G46" s="684"/>
      <c r="H46" s="684"/>
      <c r="I46" s="684"/>
      <c r="J46" s="684"/>
      <c r="K46" s="684"/>
      <c r="L46" s="684"/>
      <c r="N46" s="679">
        <f t="shared" si="4"/>
        <v>0</v>
      </c>
    </row>
    <row r="47" spans="2:14" ht="28.5" customHeight="1" x14ac:dyDescent="0.25">
      <c r="B47" s="1068" t="str">
        <f>"per 31/12/"&amp;$I$13</f>
        <v>per 31/12/2017</v>
      </c>
      <c r="C47" s="1069"/>
      <c r="D47" s="1069"/>
      <c r="E47" s="1070"/>
      <c r="F47" s="162"/>
      <c r="G47" s="684">
        <f>J255</f>
        <v>0</v>
      </c>
      <c r="H47" s="684"/>
      <c r="I47" s="684"/>
      <c r="J47" s="684"/>
      <c r="K47" s="684"/>
      <c r="L47" s="684"/>
      <c r="N47" s="679">
        <f t="shared" si="4"/>
        <v>0</v>
      </c>
    </row>
    <row r="48" spans="2:14" ht="28.5" customHeight="1" x14ac:dyDescent="0.25">
      <c r="B48" s="1068" t="str">
        <f>"per 31/12/"&amp;$J$13</f>
        <v>per 31/12/2018</v>
      </c>
      <c r="C48" s="1069"/>
      <c r="D48" s="1069"/>
      <c r="E48" s="1070"/>
      <c r="F48" s="162"/>
      <c r="G48" s="684">
        <f>L260</f>
        <v>0</v>
      </c>
      <c r="H48" s="684">
        <f>L261</f>
        <v>0</v>
      </c>
      <c r="I48" s="684"/>
      <c r="J48" s="684"/>
      <c r="K48" s="684"/>
      <c r="L48" s="684"/>
      <c r="N48" s="679">
        <f t="shared" si="4"/>
        <v>0</v>
      </c>
    </row>
    <row r="49" spans="2:14" ht="28.5" customHeight="1" x14ac:dyDescent="0.25">
      <c r="B49" s="1068" t="str">
        <f>"per 31/12/"&amp;$K$13</f>
        <v>per 31/12/2019</v>
      </c>
      <c r="C49" s="1069"/>
      <c r="D49" s="1069"/>
      <c r="E49" s="1070"/>
      <c r="F49" s="162"/>
      <c r="G49" s="684">
        <f>L267</f>
        <v>0</v>
      </c>
      <c r="H49" s="684">
        <f>L268</f>
        <v>0</v>
      </c>
      <c r="I49" s="684">
        <f>L269</f>
        <v>0</v>
      </c>
      <c r="J49" s="684"/>
      <c r="K49" s="684"/>
      <c r="L49" s="684"/>
      <c r="N49" s="679">
        <f t="shared" si="4"/>
        <v>0</v>
      </c>
    </row>
    <row r="50" spans="2:14" ht="28.5" customHeight="1" x14ac:dyDescent="0.25">
      <c r="B50" s="1068" t="str">
        <f>"per 31/12/"&amp;$L$13</f>
        <v>per 31/12/2020</v>
      </c>
      <c r="C50" s="1069"/>
      <c r="D50" s="1069"/>
      <c r="E50" s="1070"/>
      <c r="F50" s="162"/>
      <c r="G50" s="684">
        <f>L275</f>
        <v>0</v>
      </c>
      <c r="H50" s="684">
        <f>L276</f>
        <v>0</v>
      </c>
      <c r="I50" s="684">
        <f>L277</f>
        <v>0</v>
      </c>
      <c r="J50" s="684">
        <f>L278</f>
        <v>0</v>
      </c>
      <c r="K50" s="684"/>
      <c r="L50" s="684"/>
      <c r="N50" s="679">
        <f t="shared" si="4"/>
        <v>0</v>
      </c>
    </row>
    <row r="51" spans="2:14" ht="27" customHeight="1" x14ac:dyDescent="0.25">
      <c r="B51" s="1080" t="s">
        <v>239</v>
      </c>
      <c r="C51" s="1080"/>
      <c r="D51" s="1080"/>
      <c r="E51" s="1080"/>
      <c r="F51" s="162"/>
      <c r="G51" s="679"/>
      <c r="H51" s="679"/>
      <c r="I51" s="679"/>
      <c r="J51" s="679"/>
      <c r="K51" s="679"/>
      <c r="L51" s="679"/>
      <c r="N51" s="679"/>
    </row>
    <row r="52" spans="2:14" ht="28.5" customHeight="1" x14ac:dyDescent="0.25">
      <c r="B52" s="1068" t="str">
        <f>"per 31/12/"&amp;$G$13</f>
        <v>per 31/12/2015</v>
      </c>
      <c r="C52" s="1069"/>
      <c r="D52" s="1069"/>
      <c r="E52" s="1070"/>
      <c r="F52" s="162"/>
      <c r="G52" s="684"/>
      <c r="H52" s="684"/>
      <c r="I52" s="684"/>
      <c r="J52" s="684"/>
      <c r="K52" s="684"/>
      <c r="L52" s="684"/>
      <c r="N52" s="679">
        <f t="shared" ref="N52:N57" si="5">SUM(G52:L52)</f>
        <v>0</v>
      </c>
    </row>
    <row r="53" spans="2:14" ht="28.5" customHeight="1" x14ac:dyDescent="0.25">
      <c r="B53" s="1068" t="str">
        <f>"per 31/12/"&amp;$H$13</f>
        <v>per 31/12/2016</v>
      </c>
      <c r="C53" s="1069"/>
      <c r="D53" s="1069"/>
      <c r="E53" s="1070"/>
      <c r="F53" s="162"/>
      <c r="G53" s="684"/>
      <c r="H53" s="684"/>
      <c r="I53" s="684"/>
      <c r="J53" s="684"/>
      <c r="K53" s="684"/>
      <c r="L53" s="684"/>
      <c r="N53" s="679">
        <f t="shared" si="5"/>
        <v>0</v>
      </c>
    </row>
    <row r="54" spans="2:14" ht="28.5" customHeight="1" x14ac:dyDescent="0.25">
      <c r="B54" s="1068" t="str">
        <f>"per 31/12/"&amp;$I$13</f>
        <v>per 31/12/2017</v>
      </c>
      <c r="C54" s="1069"/>
      <c r="D54" s="1069"/>
      <c r="E54" s="1070"/>
      <c r="F54" s="162"/>
      <c r="G54" s="684">
        <f>J295</f>
        <v>0</v>
      </c>
      <c r="H54" s="684"/>
      <c r="I54" s="684"/>
      <c r="J54" s="684"/>
      <c r="K54" s="684"/>
      <c r="L54" s="684"/>
      <c r="N54" s="679">
        <f t="shared" si="5"/>
        <v>0</v>
      </c>
    </row>
    <row r="55" spans="2:14" ht="28.5" customHeight="1" x14ac:dyDescent="0.25">
      <c r="B55" s="1068" t="str">
        <f>"per 31/12/"&amp;$J$13</f>
        <v>per 31/12/2018</v>
      </c>
      <c r="C55" s="1069"/>
      <c r="D55" s="1069"/>
      <c r="E55" s="1070"/>
      <c r="F55" s="162"/>
      <c r="G55" s="684">
        <f>L300</f>
        <v>0</v>
      </c>
      <c r="H55" s="684">
        <f>L301</f>
        <v>0</v>
      </c>
      <c r="I55" s="684"/>
      <c r="J55" s="684"/>
      <c r="K55" s="684"/>
      <c r="L55" s="684"/>
      <c r="N55" s="679">
        <f t="shared" si="5"/>
        <v>0</v>
      </c>
    </row>
    <row r="56" spans="2:14" ht="28.5" customHeight="1" x14ac:dyDescent="0.25">
      <c r="B56" s="1068" t="str">
        <f>"per 31/12/"&amp;$K$13</f>
        <v>per 31/12/2019</v>
      </c>
      <c r="C56" s="1069"/>
      <c r="D56" s="1069"/>
      <c r="E56" s="1070"/>
      <c r="F56" s="162"/>
      <c r="G56" s="684">
        <f>L307</f>
        <v>0</v>
      </c>
      <c r="H56" s="684">
        <f>L308</f>
        <v>0</v>
      </c>
      <c r="I56" s="684">
        <f>L309</f>
        <v>0</v>
      </c>
      <c r="J56" s="684"/>
      <c r="K56" s="684"/>
      <c r="L56" s="684"/>
      <c r="N56" s="679">
        <f t="shared" si="5"/>
        <v>0</v>
      </c>
    </row>
    <row r="57" spans="2:14" ht="28.5" customHeight="1" x14ac:dyDescent="0.25">
      <c r="B57" s="1068" t="str">
        <f>"per 31/12/"&amp;$L$13</f>
        <v>per 31/12/2020</v>
      </c>
      <c r="C57" s="1069"/>
      <c r="D57" s="1069"/>
      <c r="E57" s="1070"/>
      <c r="F57" s="162"/>
      <c r="G57" s="684">
        <f>L315</f>
        <v>0</v>
      </c>
      <c r="H57" s="684">
        <f>L316</f>
        <v>0</v>
      </c>
      <c r="I57" s="684">
        <f>L317</f>
        <v>0</v>
      </c>
      <c r="J57" s="684">
        <f>L318</f>
        <v>0</v>
      </c>
      <c r="K57" s="684"/>
      <c r="L57" s="684"/>
      <c r="N57" s="679">
        <f t="shared" si="5"/>
        <v>0</v>
      </c>
    </row>
    <row r="58" spans="2:14" ht="26.25" customHeight="1" x14ac:dyDescent="0.25">
      <c r="B58" s="1077" t="s">
        <v>237</v>
      </c>
      <c r="C58" s="1078"/>
      <c r="D58" s="1078"/>
      <c r="E58" s="1079"/>
      <c r="F58" s="162"/>
      <c r="G58" s="686"/>
      <c r="H58" s="686"/>
      <c r="I58" s="686"/>
      <c r="J58" s="686"/>
      <c r="K58" s="686"/>
      <c r="L58" s="686"/>
      <c r="N58" s="686"/>
    </row>
    <row r="59" spans="2:14" ht="28.5" customHeight="1" x14ac:dyDescent="0.25">
      <c r="B59" s="1068" t="str">
        <f>"per 31/12/"&amp;$G$13</f>
        <v>per 31/12/2015</v>
      </c>
      <c r="C59" s="1069"/>
      <c r="D59" s="1069"/>
      <c r="E59" s="1070"/>
      <c r="F59" s="162"/>
      <c r="G59" s="684"/>
      <c r="H59" s="684"/>
      <c r="I59" s="684"/>
      <c r="J59" s="684"/>
      <c r="K59" s="684"/>
      <c r="L59" s="684"/>
      <c r="N59" s="679">
        <f t="shared" ref="N59:N64" si="6">SUM(G59:L59)</f>
        <v>0</v>
      </c>
    </row>
    <row r="60" spans="2:14" ht="28.5" customHeight="1" x14ac:dyDescent="0.25">
      <c r="B60" s="1068" t="str">
        <f>"per 31/12/"&amp;$H$13</f>
        <v>per 31/12/2016</v>
      </c>
      <c r="C60" s="1069"/>
      <c r="D60" s="1069"/>
      <c r="E60" s="1070"/>
      <c r="F60" s="162"/>
      <c r="G60" s="684"/>
      <c r="H60" s="684"/>
      <c r="I60" s="684"/>
      <c r="J60" s="684"/>
      <c r="K60" s="684"/>
      <c r="L60" s="684"/>
      <c r="N60" s="679">
        <f t="shared" si="6"/>
        <v>0</v>
      </c>
    </row>
    <row r="61" spans="2:14" ht="29.25" customHeight="1" x14ac:dyDescent="0.25">
      <c r="B61" s="1068" t="str">
        <f>"per 31/12/"&amp;$I$13</f>
        <v>per 31/12/2017</v>
      </c>
      <c r="C61" s="1069"/>
      <c r="D61" s="1069"/>
      <c r="E61" s="1070"/>
      <c r="F61" s="162"/>
      <c r="G61" s="684">
        <f>J335</f>
        <v>0</v>
      </c>
      <c r="H61" s="684"/>
      <c r="I61" s="684"/>
      <c r="J61" s="684"/>
      <c r="K61" s="684"/>
      <c r="L61" s="684"/>
      <c r="N61" s="679">
        <f t="shared" si="6"/>
        <v>0</v>
      </c>
    </row>
    <row r="62" spans="2:14" ht="28.5" customHeight="1" x14ac:dyDescent="0.25">
      <c r="B62" s="1068" t="str">
        <f>"per 31/12/"&amp;$J$13</f>
        <v>per 31/12/2018</v>
      </c>
      <c r="C62" s="1069"/>
      <c r="D62" s="1069"/>
      <c r="E62" s="1070"/>
      <c r="F62" s="162"/>
      <c r="G62" s="684">
        <f>L340</f>
        <v>0</v>
      </c>
      <c r="H62" s="684">
        <f>L341</f>
        <v>0</v>
      </c>
      <c r="I62" s="684"/>
      <c r="J62" s="684"/>
      <c r="K62" s="684"/>
      <c r="L62" s="684"/>
      <c r="N62" s="679">
        <f t="shared" si="6"/>
        <v>0</v>
      </c>
    </row>
    <row r="63" spans="2:14" ht="28.5" customHeight="1" x14ac:dyDescent="0.25">
      <c r="B63" s="1068" t="str">
        <f>"per 31/12/"&amp;$K$13</f>
        <v>per 31/12/2019</v>
      </c>
      <c r="C63" s="1069"/>
      <c r="D63" s="1069"/>
      <c r="E63" s="1070"/>
      <c r="F63" s="162"/>
      <c r="G63" s="684">
        <f>L347</f>
        <v>0</v>
      </c>
      <c r="H63" s="684">
        <f>L348</f>
        <v>0</v>
      </c>
      <c r="I63" s="684">
        <f>L349</f>
        <v>0</v>
      </c>
      <c r="J63" s="684"/>
      <c r="K63" s="684"/>
      <c r="L63" s="684"/>
      <c r="N63" s="679">
        <f t="shared" si="6"/>
        <v>0</v>
      </c>
    </row>
    <row r="64" spans="2:14" ht="28.5" customHeight="1" x14ac:dyDescent="0.25">
      <c r="B64" s="1068" t="str">
        <f>"per 31/12/"&amp;$L$13</f>
        <v>per 31/12/2020</v>
      </c>
      <c r="C64" s="1069"/>
      <c r="D64" s="1069"/>
      <c r="E64" s="1070"/>
      <c r="F64" s="162"/>
      <c r="G64" s="684">
        <f>L355</f>
        <v>0</v>
      </c>
      <c r="H64" s="684">
        <f>L356</f>
        <v>0</v>
      </c>
      <c r="I64" s="684">
        <f>L357</f>
        <v>0</v>
      </c>
      <c r="J64" s="684">
        <f>L358</f>
        <v>0</v>
      </c>
      <c r="K64" s="684"/>
      <c r="L64" s="684"/>
      <c r="N64" s="679">
        <f t="shared" si="6"/>
        <v>0</v>
      </c>
    </row>
    <row r="65" spans="2:14" ht="31.5" customHeight="1" x14ac:dyDescent="0.25">
      <c r="B65" s="1077" t="s">
        <v>287</v>
      </c>
      <c r="C65" s="1078"/>
      <c r="D65" s="1078"/>
      <c r="E65" s="1079"/>
      <c r="F65" s="162"/>
      <c r="G65" s="686"/>
      <c r="H65" s="686"/>
      <c r="I65" s="686"/>
      <c r="J65" s="686"/>
      <c r="K65" s="686"/>
      <c r="L65" s="686"/>
      <c r="N65" s="686"/>
    </row>
    <row r="66" spans="2:14" ht="28.5" customHeight="1" x14ac:dyDescent="0.25">
      <c r="B66" s="1068" t="str">
        <f>"per 31/12/"&amp;$G$13</f>
        <v>per 31/12/2015</v>
      </c>
      <c r="C66" s="1069"/>
      <c r="D66" s="1069"/>
      <c r="E66" s="1070"/>
      <c r="F66" s="162"/>
      <c r="G66" s="684"/>
      <c r="H66" s="684"/>
      <c r="I66" s="684"/>
      <c r="J66" s="684"/>
      <c r="K66" s="684"/>
      <c r="L66" s="684"/>
      <c r="N66" s="679">
        <f t="shared" ref="N66:N71" si="7">SUM(G66:L66)</f>
        <v>0</v>
      </c>
    </row>
    <row r="67" spans="2:14" ht="28.5" customHeight="1" x14ac:dyDescent="0.25">
      <c r="B67" s="1068" t="str">
        <f>"per 31/12/"&amp;$H$13</f>
        <v>per 31/12/2016</v>
      </c>
      <c r="C67" s="1069"/>
      <c r="D67" s="1069"/>
      <c r="E67" s="1070"/>
      <c r="F67" s="162"/>
      <c r="G67" s="684"/>
      <c r="H67" s="684"/>
      <c r="I67" s="684"/>
      <c r="J67" s="684"/>
      <c r="K67" s="684"/>
      <c r="L67" s="684"/>
      <c r="N67" s="679">
        <f t="shared" si="7"/>
        <v>0</v>
      </c>
    </row>
    <row r="68" spans="2:14" ht="28.5" customHeight="1" x14ac:dyDescent="0.25">
      <c r="B68" s="1068" t="str">
        <f>"per 31/12/"&amp;$I$13</f>
        <v>per 31/12/2017</v>
      </c>
      <c r="C68" s="1069"/>
      <c r="D68" s="1069"/>
      <c r="E68" s="1070"/>
      <c r="F68" s="162"/>
      <c r="G68" s="684">
        <f>J375</f>
        <v>0</v>
      </c>
      <c r="H68" s="684"/>
      <c r="I68" s="684"/>
      <c r="J68" s="684"/>
      <c r="K68" s="684"/>
      <c r="L68" s="684"/>
      <c r="N68" s="679">
        <f t="shared" si="7"/>
        <v>0</v>
      </c>
    </row>
    <row r="69" spans="2:14" ht="28.5" customHeight="1" x14ac:dyDescent="0.25">
      <c r="B69" s="1068" t="str">
        <f>"per 31/12/"&amp;$J$13</f>
        <v>per 31/12/2018</v>
      </c>
      <c r="C69" s="1069"/>
      <c r="D69" s="1069"/>
      <c r="E69" s="1070"/>
      <c r="F69" s="162"/>
      <c r="G69" s="684">
        <f>L380</f>
        <v>0</v>
      </c>
      <c r="H69" s="684">
        <f>L381</f>
        <v>0</v>
      </c>
      <c r="I69" s="684"/>
      <c r="J69" s="684"/>
      <c r="K69" s="684"/>
      <c r="L69" s="684"/>
      <c r="N69" s="679">
        <f t="shared" si="7"/>
        <v>0</v>
      </c>
    </row>
    <row r="70" spans="2:14" ht="28.5" customHeight="1" x14ac:dyDescent="0.25">
      <c r="B70" s="1068" t="str">
        <f>"per 31/12/"&amp;$K$13</f>
        <v>per 31/12/2019</v>
      </c>
      <c r="C70" s="1069"/>
      <c r="D70" s="1069"/>
      <c r="E70" s="1070"/>
      <c r="F70" s="162"/>
      <c r="G70" s="684">
        <f>L387</f>
        <v>0</v>
      </c>
      <c r="H70" s="684">
        <f>L388</f>
        <v>0</v>
      </c>
      <c r="I70" s="684">
        <f>L389</f>
        <v>0</v>
      </c>
      <c r="J70" s="684"/>
      <c r="K70" s="684"/>
      <c r="L70" s="684"/>
      <c r="N70" s="679">
        <f t="shared" si="7"/>
        <v>0</v>
      </c>
    </row>
    <row r="71" spans="2:14" ht="28.5" customHeight="1" x14ac:dyDescent="0.25">
      <c r="B71" s="1068" t="str">
        <f>"per 31/12/"&amp;$L$13</f>
        <v>per 31/12/2020</v>
      </c>
      <c r="C71" s="1069"/>
      <c r="D71" s="1069"/>
      <c r="E71" s="1070"/>
      <c r="F71" s="162"/>
      <c r="G71" s="684">
        <f>L395</f>
        <v>0</v>
      </c>
      <c r="H71" s="684">
        <f>L396</f>
        <v>0</v>
      </c>
      <c r="I71" s="684">
        <f>L397</f>
        <v>0</v>
      </c>
      <c r="J71" s="684">
        <f>L398</f>
        <v>0</v>
      </c>
      <c r="K71" s="684"/>
      <c r="L71" s="684"/>
      <c r="N71" s="679">
        <f t="shared" si="7"/>
        <v>0</v>
      </c>
    </row>
    <row r="72" spans="2:14" ht="33" customHeight="1" x14ac:dyDescent="0.25">
      <c r="B72" s="1074" t="s">
        <v>134</v>
      </c>
      <c r="C72" s="1075"/>
      <c r="D72" s="1075"/>
      <c r="E72" s="1076"/>
      <c r="F72" s="162"/>
      <c r="G72" s="686"/>
      <c r="H72" s="686"/>
      <c r="I72" s="686"/>
      <c r="J72" s="686"/>
      <c r="K72" s="686"/>
      <c r="L72" s="686"/>
      <c r="N72" s="686"/>
    </row>
    <row r="73" spans="2:14" ht="28.5" customHeight="1" x14ac:dyDescent="0.25">
      <c r="B73" s="1068" t="str">
        <f>"per 31/12/"&amp;$G$13</f>
        <v>per 31/12/2015</v>
      </c>
      <c r="C73" s="1069"/>
      <c r="D73" s="1069"/>
      <c r="E73" s="1070"/>
      <c r="F73" s="162"/>
      <c r="G73" s="684"/>
      <c r="H73" s="684"/>
      <c r="I73" s="684"/>
      <c r="J73" s="684"/>
      <c r="K73" s="684"/>
      <c r="L73" s="684"/>
      <c r="N73" s="679">
        <f t="shared" ref="N73:N78" si="8">SUM(G73:L73)</f>
        <v>0</v>
      </c>
    </row>
    <row r="74" spans="2:14" ht="28.5" customHeight="1" x14ac:dyDescent="0.25">
      <c r="B74" s="1068" t="str">
        <f>"per 31/12/"&amp;$H$13</f>
        <v>per 31/12/2016</v>
      </c>
      <c r="C74" s="1069"/>
      <c r="D74" s="1069"/>
      <c r="E74" s="1070"/>
      <c r="F74" s="162"/>
      <c r="G74" s="684"/>
      <c r="H74" s="684"/>
      <c r="I74" s="684"/>
      <c r="J74" s="684"/>
      <c r="K74" s="684"/>
      <c r="L74" s="684"/>
      <c r="N74" s="679">
        <f t="shared" si="8"/>
        <v>0</v>
      </c>
    </row>
    <row r="75" spans="2:14" ht="28.5" customHeight="1" x14ac:dyDescent="0.25">
      <c r="B75" s="1068" t="str">
        <f>"per 31/12/"&amp;$I$13</f>
        <v>per 31/12/2017</v>
      </c>
      <c r="C75" s="1069"/>
      <c r="D75" s="1069"/>
      <c r="E75" s="1070"/>
      <c r="F75" s="162"/>
      <c r="G75" s="684">
        <f>J415</f>
        <v>0</v>
      </c>
      <c r="H75" s="684"/>
      <c r="I75" s="684"/>
      <c r="J75" s="684"/>
      <c r="K75" s="684"/>
      <c r="L75" s="684"/>
      <c r="N75" s="679">
        <f t="shared" si="8"/>
        <v>0</v>
      </c>
    </row>
    <row r="76" spans="2:14" ht="28.5" customHeight="1" x14ac:dyDescent="0.25">
      <c r="B76" s="1068" t="str">
        <f>"per 31/12/"&amp;$J$13</f>
        <v>per 31/12/2018</v>
      </c>
      <c r="C76" s="1069"/>
      <c r="D76" s="1069"/>
      <c r="E76" s="1070"/>
      <c r="F76" s="162"/>
      <c r="G76" s="684">
        <f>L420</f>
        <v>0</v>
      </c>
      <c r="H76" s="684">
        <f>L421</f>
        <v>0</v>
      </c>
      <c r="I76" s="684"/>
      <c r="J76" s="684"/>
      <c r="K76" s="684"/>
      <c r="L76" s="684"/>
      <c r="N76" s="679">
        <f t="shared" si="8"/>
        <v>0</v>
      </c>
    </row>
    <row r="77" spans="2:14" ht="28.5" customHeight="1" x14ac:dyDescent="0.25">
      <c r="B77" s="1068" t="str">
        <f>"per 31/12/"&amp;$K$13</f>
        <v>per 31/12/2019</v>
      </c>
      <c r="C77" s="1069"/>
      <c r="D77" s="1069"/>
      <c r="E77" s="1070"/>
      <c r="F77" s="162"/>
      <c r="G77" s="684">
        <f>L427</f>
        <v>0</v>
      </c>
      <c r="H77" s="684">
        <f>L428</f>
        <v>0</v>
      </c>
      <c r="I77" s="684">
        <f>L429</f>
        <v>0</v>
      </c>
      <c r="J77" s="684"/>
      <c r="K77" s="684"/>
      <c r="L77" s="684"/>
      <c r="N77" s="679">
        <f t="shared" si="8"/>
        <v>0</v>
      </c>
    </row>
    <row r="78" spans="2:14" ht="28.5" customHeight="1" x14ac:dyDescent="0.25">
      <c r="B78" s="1068" t="str">
        <f>"per 31/12/"&amp;$L$13</f>
        <v>per 31/12/2020</v>
      </c>
      <c r="C78" s="1069"/>
      <c r="D78" s="1069"/>
      <c r="E78" s="1070"/>
      <c r="F78" s="162"/>
      <c r="G78" s="684">
        <f>L435</f>
        <v>0</v>
      </c>
      <c r="H78" s="684">
        <f>L436</f>
        <v>0</v>
      </c>
      <c r="I78" s="684">
        <f>L437</f>
        <v>0</v>
      </c>
      <c r="J78" s="684">
        <f>L438</f>
        <v>0</v>
      </c>
      <c r="K78" s="684"/>
      <c r="L78" s="684"/>
      <c r="N78" s="679">
        <f t="shared" si="8"/>
        <v>0</v>
      </c>
    </row>
    <row r="79" spans="2:14" x14ac:dyDescent="0.25">
      <c r="G79" s="680"/>
      <c r="H79" s="680"/>
      <c r="I79" s="680"/>
      <c r="J79" s="680"/>
      <c r="K79" s="680"/>
      <c r="L79" s="680"/>
      <c r="N79" s="680"/>
    </row>
    <row r="80" spans="2:14" ht="13" x14ac:dyDescent="0.25">
      <c r="G80" s="675">
        <v>2015</v>
      </c>
      <c r="H80" s="675">
        <f>+G80+1</f>
        <v>2016</v>
      </c>
      <c r="I80" s="675">
        <f>+H80+1</f>
        <v>2017</v>
      </c>
      <c r="J80" s="675">
        <f>+I80+1</f>
        <v>2018</v>
      </c>
      <c r="K80" s="675">
        <f>+J80+1</f>
        <v>2019</v>
      </c>
      <c r="L80" s="675">
        <f>+K80+1</f>
        <v>2020</v>
      </c>
      <c r="M80" s="483"/>
      <c r="N80" s="675" t="s">
        <v>31</v>
      </c>
    </row>
    <row r="81" spans="1:14" s="612" customFormat="1" ht="26.25" customHeight="1" x14ac:dyDescent="0.25">
      <c r="B81" s="1071" t="s">
        <v>337</v>
      </c>
      <c r="C81" s="1072"/>
      <c r="D81" s="1072"/>
      <c r="E81" s="1073"/>
      <c r="F81" s="858"/>
      <c r="G81" s="859"/>
      <c r="H81" s="859"/>
      <c r="I81" s="859"/>
      <c r="J81" s="859"/>
      <c r="K81" s="859"/>
      <c r="L81" s="859"/>
      <c r="M81" s="860"/>
      <c r="N81" s="859"/>
    </row>
    <row r="82" spans="1:14" ht="28.5" customHeight="1" x14ac:dyDescent="0.25">
      <c r="A82" s="394">
        <v>2015</v>
      </c>
      <c r="B82" s="1063" t="str">
        <f>"per 31/12/"&amp;$G$13</f>
        <v>per 31/12/2015</v>
      </c>
      <c r="C82" s="1064"/>
      <c r="D82" s="1064"/>
      <c r="E82" s="1065"/>
      <c r="F82" s="697"/>
      <c r="G82" s="698"/>
      <c r="H82" s="698"/>
      <c r="I82" s="698"/>
      <c r="J82" s="698"/>
      <c r="K82" s="698"/>
      <c r="L82" s="698"/>
      <c r="N82" s="844">
        <f t="shared" ref="N82:N87" si="9">SUM(N31,N38,N45,N52,N59,N66,N73)</f>
        <v>0</v>
      </c>
    </row>
    <row r="83" spans="1:14" ht="28.5" customHeight="1" x14ac:dyDescent="0.25">
      <c r="A83" s="394">
        <v>2016</v>
      </c>
      <c r="B83" s="1063" t="str">
        <f>"per 31/12/"&amp;$H$13</f>
        <v>per 31/12/2016</v>
      </c>
      <c r="C83" s="1064"/>
      <c r="D83" s="1064"/>
      <c r="E83" s="1065"/>
      <c r="F83" s="697"/>
      <c r="G83" s="698"/>
      <c r="H83" s="698"/>
      <c r="I83" s="698"/>
      <c r="J83" s="698"/>
      <c r="K83" s="698"/>
      <c r="L83" s="698"/>
      <c r="N83" s="844">
        <f t="shared" si="9"/>
        <v>0</v>
      </c>
    </row>
    <row r="84" spans="1:14" ht="28.5" customHeight="1" x14ac:dyDescent="0.25">
      <c r="A84" s="394">
        <v>2017</v>
      </c>
      <c r="B84" s="1063" t="str">
        <f>"per 31/12/"&amp;$I$13</f>
        <v>per 31/12/2017</v>
      </c>
      <c r="C84" s="1064"/>
      <c r="D84" s="1064"/>
      <c r="E84" s="1065"/>
      <c r="F84" s="697"/>
      <c r="G84" s="698">
        <f>SUM(G33,G40,G47,G54,G61,G68,G75)</f>
        <v>0</v>
      </c>
      <c r="H84" s="698"/>
      <c r="I84" s="698"/>
      <c r="J84" s="698"/>
      <c r="K84" s="698"/>
      <c r="L84" s="698"/>
      <c r="N84" s="844">
        <f t="shared" si="9"/>
        <v>0</v>
      </c>
    </row>
    <row r="85" spans="1:14" ht="28.5" customHeight="1" x14ac:dyDescent="0.25">
      <c r="A85" s="394">
        <v>2018</v>
      </c>
      <c r="B85" s="1063" t="str">
        <f>"per 31/12/"&amp;$J$13</f>
        <v>per 31/12/2018</v>
      </c>
      <c r="C85" s="1064"/>
      <c r="D85" s="1064"/>
      <c r="E85" s="1065"/>
      <c r="F85" s="697"/>
      <c r="G85" s="698">
        <f>SUM(G34,G41,G48,G55,G62,G69,G76)</f>
        <v>0</v>
      </c>
      <c r="H85" s="698">
        <f>SUM(H34,H41,H48,H55,H62,H69,H76)</f>
        <v>0</v>
      </c>
      <c r="I85" s="698"/>
      <c r="J85" s="698"/>
      <c r="K85" s="698"/>
      <c r="L85" s="698"/>
      <c r="N85" s="844">
        <f t="shared" si="9"/>
        <v>0</v>
      </c>
    </row>
    <row r="86" spans="1:14" ht="28.5" customHeight="1" x14ac:dyDescent="0.25">
      <c r="A86" s="394">
        <v>2019</v>
      </c>
      <c r="B86" s="1063" t="str">
        <f>"per 31/12/"&amp;$K$13</f>
        <v>per 31/12/2019</v>
      </c>
      <c r="C86" s="1064"/>
      <c r="D86" s="1064"/>
      <c r="E86" s="1065"/>
      <c r="F86" s="697"/>
      <c r="G86" s="698">
        <f>SUM(G35,G42,G49,G56,G63,G70,G77)</f>
        <v>0</v>
      </c>
      <c r="H86" s="698">
        <f>SUM(H35,H42,H49,H56,H63,H70,H77)</f>
        <v>0</v>
      </c>
      <c r="I86" s="698">
        <f>SUM(I35,I42,I49,I56,I63,I70,I77)</f>
        <v>0</v>
      </c>
      <c r="J86" s="698"/>
      <c r="K86" s="698"/>
      <c r="L86" s="698"/>
      <c r="N86" s="844">
        <f t="shared" si="9"/>
        <v>0</v>
      </c>
    </row>
    <row r="87" spans="1:14" ht="28.5" customHeight="1" x14ac:dyDescent="0.25">
      <c r="A87" s="394">
        <v>2020</v>
      </c>
      <c r="B87" s="1063" t="str">
        <f>"per 31/12/"&amp;$L$13</f>
        <v>per 31/12/2020</v>
      </c>
      <c r="C87" s="1064"/>
      <c r="D87" s="1064"/>
      <c r="E87" s="1065"/>
      <c r="F87" s="697"/>
      <c r="G87" s="698">
        <f>SUM(G36,G43,G50,G57,G64,G71,G78)</f>
        <v>0</v>
      </c>
      <c r="H87" s="698">
        <f>SUM(H36,H43,H50,H57,H64,H71,H78)</f>
        <v>0</v>
      </c>
      <c r="I87" s="698">
        <f>SUM(I36,I43,I50,I57,I64,I71,I78)</f>
        <v>0</v>
      </c>
      <c r="J87" s="698">
        <f>SUM(J36,J43,J50,J57,J64,J71,J78)</f>
        <v>0</v>
      </c>
      <c r="K87" s="698"/>
      <c r="L87" s="698"/>
      <c r="N87" s="844">
        <f t="shared" si="9"/>
        <v>0</v>
      </c>
    </row>
    <row r="88" spans="1:14" s="381" customFormat="1" ht="13" x14ac:dyDescent="0.3">
      <c r="B88" s="1066" t="s">
        <v>247</v>
      </c>
      <c r="C88" s="1066"/>
      <c r="D88" s="1066"/>
      <c r="E88" s="1066"/>
      <c r="G88" s="913">
        <f>(VLOOKUP($D$2,$A$82:$G$87,7,FALSE)+IF($A$82&lt;$D$2,G82,0)+IF($A$83&lt;$D$2,G83,0)+IF($A$84&lt;$D$2,G84,0)+IF($A$85&lt;$D$2,G85,0)+IF($A$86&lt;$D$2,G86,0)+IF($A$87&lt;$D$2,G87,0))-T5A!C70</f>
        <v>0</v>
      </c>
      <c r="H88" s="913">
        <f>(VLOOKUP($D$2,$A$82:$H$87,8,FALSE)+IF($A$82&lt;$D$2,H82,0)+IF($A$83&lt;$D$2,H83,0)+IF($A$84&lt;$D$2,H84,0)+IF($A$85&lt;$D$2,H85,0)+IF($A$86&lt;$D$2,H86,0)+IF($A$87&lt;$D$2,H87,0))-T5A!D70</f>
        <v>0</v>
      </c>
      <c r="I88" s="913">
        <f>(VLOOKUP($D$2,$A$82:$I$87,9,FALSE)+IF($A$82&lt;$D$2,I82,0)+IF($A$83&lt;$D$2,I83,0)+IF($A$84&lt;$D$2,I84,0)+IF($A$85&lt;$D$2,I85,0)+IF($A$86&lt;$D$2,I86,0)+IF($A$87&lt;$D$2,I87,0))-T5A!E70</f>
        <v>0</v>
      </c>
      <c r="J88" s="913">
        <f>(VLOOKUP($D$2,$A$82:$J$87,10,FALSE)+IF($A$82&lt;$D$2,J82,0)+IF($A$83&lt;$D$2,J83,0)+IF($A$84&lt;$D$2,J84,0)+IF($A$85&lt;$D$2,J85,0)+IF($A$86&lt;$D$2,J86,0)+IF($A$87&lt;$D$2,J87,0))-T5A!F70</f>
        <v>0</v>
      </c>
      <c r="K88" s="694"/>
      <c r="L88" s="694"/>
      <c r="M88" s="848"/>
      <c r="N88" s="694">
        <f>(VLOOKUP($D$2,$A$82:$N$87,14,FALSE))-T5A!J70</f>
        <v>0</v>
      </c>
    </row>
    <row r="90" spans="1:14" ht="13" x14ac:dyDescent="0.3">
      <c r="G90" s="434" t="s">
        <v>343</v>
      </c>
    </row>
    <row r="91" spans="1:14" ht="13" x14ac:dyDescent="0.3">
      <c r="G91" s="197" t="s">
        <v>258</v>
      </c>
    </row>
    <row r="92" spans="1:14" s="48" customFormat="1" ht="69.75" customHeight="1" x14ac:dyDescent="0.25">
      <c r="B92" s="1060" t="s">
        <v>248</v>
      </c>
      <c r="C92" s="1061"/>
      <c r="D92" s="1061"/>
      <c r="E92" s="1062"/>
      <c r="F92" s="599"/>
      <c r="G92" s="675">
        <v>2015</v>
      </c>
      <c r="H92" s="675">
        <f>+G92+1</f>
        <v>2016</v>
      </c>
      <c r="I92" s="675">
        <f>+H92+1</f>
        <v>2017</v>
      </c>
      <c r="J92" s="675">
        <f>+I92+1</f>
        <v>2018</v>
      </c>
      <c r="K92" s="675">
        <f>+J92+1</f>
        <v>2019</v>
      </c>
      <c r="L92" s="675">
        <f>+K92+1</f>
        <v>2020</v>
      </c>
      <c r="M92" s="483"/>
      <c r="N92" s="675" t="s">
        <v>31</v>
      </c>
    </row>
    <row r="93" spans="1:14" s="130" customFormat="1" ht="12" customHeight="1" x14ac:dyDescent="0.25">
      <c r="B93" s="600"/>
      <c r="C93" s="600"/>
      <c r="D93" s="600"/>
      <c r="E93" s="600"/>
      <c r="F93" s="601"/>
      <c r="G93" s="602"/>
      <c r="H93" s="603"/>
      <c r="I93" s="603"/>
      <c r="J93" s="604"/>
      <c r="K93" s="604"/>
      <c r="L93" s="604"/>
      <c r="M93" s="846"/>
      <c r="N93" s="604"/>
    </row>
    <row r="94" spans="1:14" ht="36" customHeight="1" x14ac:dyDescent="0.25">
      <c r="B94" s="1077" t="s">
        <v>131</v>
      </c>
      <c r="C94" s="1078"/>
      <c r="D94" s="1078"/>
      <c r="E94" s="1079"/>
      <c r="F94" s="162"/>
      <c r="G94" s="686"/>
      <c r="H94" s="686"/>
      <c r="I94" s="686"/>
      <c r="J94" s="686"/>
      <c r="K94" s="686"/>
      <c r="L94" s="686"/>
      <c r="N94" s="686"/>
    </row>
    <row r="95" spans="1:14" ht="28.5" customHeight="1" x14ac:dyDescent="0.25">
      <c r="B95" s="1068" t="str">
        <f>"per 31/12/"&amp;$G$13</f>
        <v>per 31/12/2015</v>
      </c>
      <c r="C95" s="1069"/>
      <c r="D95" s="1069"/>
      <c r="E95" s="1070"/>
      <c r="F95" s="162"/>
      <c r="G95" s="684">
        <f>+G$15+G31</f>
        <v>0</v>
      </c>
      <c r="H95" s="684"/>
      <c r="I95" s="684"/>
      <c r="J95" s="684"/>
      <c r="K95" s="684"/>
      <c r="L95" s="684"/>
      <c r="M95" s="394">
        <v>2016</v>
      </c>
      <c r="N95" s="679">
        <f t="shared" ref="N95:N100" si="10">SUM(G95:L95)</f>
        <v>0</v>
      </c>
    </row>
    <row r="96" spans="1:14" ht="28.5" customHeight="1" x14ac:dyDescent="0.25">
      <c r="B96" s="1068" t="str">
        <f>"per 31/12/"&amp;$H$13</f>
        <v>per 31/12/2016</v>
      </c>
      <c r="C96" s="1069"/>
      <c r="D96" s="1069"/>
      <c r="E96" s="1070"/>
      <c r="F96" s="162"/>
      <c r="G96" s="684">
        <f>+G95+G32</f>
        <v>0</v>
      </c>
      <c r="H96" s="684">
        <f>+$H$15+H32</f>
        <v>0</v>
      </c>
      <c r="I96" s="684"/>
      <c r="J96" s="684"/>
      <c r="K96" s="684"/>
      <c r="L96" s="684"/>
      <c r="M96" s="394">
        <v>2017</v>
      </c>
      <c r="N96" s="679">
        <f t="shared" si="10"/>
        <v>0</v>
      </c>
    </row>
    <row r="97" spans="2:14" ht="28.5" customHeight="1" x14ac:dyDescent="0.25">
      <c r="B97" s="1068" t="str">
        <f>"per 31/12/"&amp;$I$13</f>
        <v>per 31/12/2017</v>
      </c>
      <c r="C97" s="1069"/>
      <c r="D97" s="1069"/>
      <c r="E97" s="1070"/>
      <c r="F97" s="162"/>
      <c r="G97" s="684">
        <f>+G96+G33</f>
        <v>0</v>
      </c>
      <c r="H97" s="684">
        <f>+H96+H33</f>
        <v>0</v>
      </c>
      <c r="I97" s="684">
        <f>+$I$15+I33</f>
        <v>0</v>
      </c>
      <c r="J97" s="684"/>
      <c r="K97" s="684"/>
      <c r="L97" s="684"/>
      <c r="M97" s="394">
        <v>2018</v>
      </c>
      <c r="N97" s="679">
        <f t="shared" si="10"/>
        <v>0</v>
      </c>
    </row>
    <row r="98" spans="2:14" ht="28.5" customHeight="1" x14ac:dyDescent="0.25">
      <c r="B98" s="1068" t="str">
        <f>"per 31/12/"&amp;$J$13</f>
        <v>per 31/12/2018</v>
      </c>
      <c r="C98" s="1069"/>
      <c r="D98" s="1069"/>
      <c r="E98" s="1070"/>
      <c r="F98" s="162"/>
      <c r="G98" s="684">
        <f>+G97+G34</f>
        <v>0</v>
      </c>
      <c r="H98" s="684">
        <f>+H97+H34</f>
        <v>0</v>
      </c>
      <c r="I98" s="684">
        <f>+I97+I34</f>
        <v>0</v>
      </c>
      <c r="J98" s="684">
        <f>+$J$15+J34</f>
        <v>0</v>
      </c>
      <c r="K98" s="684"/>
      <c r="L98" s="684"/>
      <c r="M98" s="394">
        <v>2019</v>
      </c>
      <c r="N98" s="679">
        <f t="shared" si="10"/>
        <v>0</v>
      </c>
    </row>
    <row r="99" spans="2:14" ht="28.5" customHeight="1" x14ac:dyDescent="0.25">
      <c r="B99" s="1068" t="str">
        <f>"per 31/12/"&amp;$K$13</f>
        <v>per 31/12/2019</v>
      </c>
      <c r="C99" s="1069"/>
      <c r="D99" s="1069"/>
      <c r="E99" s="1070"/>
      <c r="F99" s="162"/>
      <c r="G99" s="684">
        <f>+G98+G35</f>
        <v>0</v>
      </c>
      <c r="H99" s="684">
        <f>+H98+H35</f>
        <v>0</v>
      </c>
      <c r="I99" s="684">
        <f>+I98+I35</f>
        <v>0</v>
      </c>
      <c r="J99" s="684">
        <f>+J98+J35</f>
        <v>0</v>
      </c>
      <c r="K99" s="684">
        <f>+$K$15+K35</f>
        <v>0</v>
      </c>
      <c r="L99" s="684"/>
      <c r="M99" s="394">
        <v>2020</v>
      </c>
      <c r="N99" s="679">
        <f t="shared" si="10"/>
        <v>0</v>
      </c>
    </row>
    <row r="100" spans="2:14" ht="28.5" customHeight="1" x14ac:dyDescent="0.25">
      <c r="B100" s="1068" t="str">
        <f>"per 31/12/"&amp;$L$13</f>
        <v>per 31/12/2020</v>
      </c>
      <c r="C100" s="1069"/>
      <c r="D100" s="1069"/>
      <c r="E100" s="1070"/>
      <c r="F100" s="162"/>
      <c r="G100" s="684">
        <f>+G99+G36</f>
        <v>0</v>
      </c>
      <c r="H100" s="684">
        <f>+H99+H36</f>
        <v>0</v>
      </c>
      <c r="I100" s="684">
        <f>+I99+I36</f>
        <v>0</v>
      </c>
      <c r="J100" s="684">
        <f>+J99+J36</f>
        <v>0</v>
      </c>
      <c r="K100" s="684">
        <f>+K99+K36</f>
        <v>0</v>
      </c>
      <c r="L100" s="684">
        <f>+$L$15+L36</f>
        <v>0</v>
      </c>
      <c r="M100" s="394">
        <v>2021</v>
      </c>
      <c r="N100" s="679">
        <f t="shared" si="10"/>
        <v>0</v>
      </c>
    </row>
    <row r="101" spans="2:14" ht="27.75" customHeight="1" x14ac:dyDescent="0.25">
      <c r="B101" s="1077" t="s">
        <v>132</v>
      </c>
      <c r="C101" s="1078"/>
      <c r="D101" s="1078"/>
      <c r="E101" s="1079"/>
      <c r="F101" s="162"/>
      <c r="G101" s="686"/>
      <c r="H101" s="686"/>
      <c r="I101" s="686"/>
      <c r="J101" s="686"/>
      <c r="K101" s="686"/>
      <c r="L101" s="686"/>
      <c r="N101" s="686"/>
    </row>
    <row r="102" spans="2:14" ht="28.5" customHeight="1" x14ac:dyDescent="0.25">
      <c r="B102" s="1068" t="str">
        <f>"per 31/12/"&amp;$G$13</f>
        <v>per 31/12/2015</v>
      </c>
      <c r="C102" s="1069"/>
      <c r="D102" s="1069"/>
      <c r="E102" s="1070"/>
      <c r="F102" s="162"/>
      <c r="G102" s="684">
        <f>+$G$16+G38</f>
        <v>0</v>
      </c>
      <c r="H102" s="684"/>
      <c r="I102" s="684"/>
      <c r="J102" s="684"/>
      <c r="K102" s="684"/>
      <c r="L102" s="684"/>
      <c r="M102" s="394">
        <v>2016</v>
      </c>
      <c r="N102" s="679">
        <f t="shared" ref="N102:N107" si="11">SUM(G102:L102)</f>
        <v>0</v>
      </c>
    </row>
    <row r="103" spans="2:14" ht="28.5" customHeight="1" x14ac:dyDescent="0.25">
      <c r="B103" s="1068" t="str">
        <f>"per 31/12/"&amp;$H$13</f>
        <v>per 31/12/2016</v>
      </c>
      <c r="C103" s="1069"/>
      <c r="D103" s="1069"/>
      <c r="E103" s="1070"/>
      <c r="F103" s="162"/>
      <c r="G103" s="684">
        <f>+G102+G39</f>
        <v>0</v>
      </c>
      <c r="H103" s="684">
        <f>+$H$16+H39</f>
        <v>0</v>
      </c>
      <c r="I103" s="684"/>
      <c r="J103" s="684"/>
      <c r="K103" s="684"/>
      <c r="L103" s="684"/>
      <c r="M103" s="394">
        <v>2017</v>
      </c>
      <c r="N103" s="679">
        <f t="shared" si="11"/>
        <v>0</v>
      </c>
    </row>
    <row r="104" spans="2:14" ht="28.5" customHeight="1" x14ac:dyDescent="0.25">
      <c r="B104" s="1068" t="str">
        <f>"per 31/12/"&amp;$I$13</f>
        <v>per 31/12/2017</v>
      </c>
      <c r="C104" s="1069"/>
      <c r="D104" s="1069"/>
      <c r="E104" s="1070"/>
      <c r="F104" s="162"/>
      <c r="G104" s="684">
        <f>+G103+G40</f>
        <v>0</v>
      </c>
      <c r="H104" s="684">
        <f>+H103+H40</f>
        <v>0</v>
      </c>
      <c r="I104" s="684">
        <f>+$I$16+I40</f>
        <v>0</v>
      </c>
      <c r="J104" s="684"/>
      <c r="K104" s="684"/>
      <c r="L104" s="684"/>
      <c r="M104" s="394">
        <v>2018</v>
      </c>
      <c r="N104" s="679">
        <f t="shared" si="11"/>
        <v>0</v>
      </c>
    </row>
    <row r="105" spans="2:14" ht="28.5" customHeight="1" x14ac:dyDescent="0.25">
      <c r="B105" s="1068" t="str">
        <f>"per 31/12/"&amp;$J$13</f>
        <v>per 31/12/2018</v>
      </c>
      <c r="C105" s="1069"/>
      <c r="D105" s="1069"/>
      <c r="E105" s="1070"/>
      <c r="F105" s="162"/>
      <c r="G105" s="684">
        <f>+G104+G41</f>
        <v>0</v>
      </c>
      <c r="H105" s="684">
        <f>+H104+H41</f>
        <v>0</v>
      </c>
      <c r="I105" s="684">
        <f>+I104+I41</f>
        <v>0</v>
      </c>
      <c r="J105" s="684">
        <f>+$J$16+J41</f>
        <v>0</v>
      </c>
      <c r="K105" s="684"/>
      <c r="L105" s="684"/>
      <c r="M105" s="394">
        <v>2019</v>
      </c>
      <c r="N105" s="679">
        <f t="shared" si="11"/>
        <v>0</v>
      </c>
    </row>
    <row r="106" spans="2:14" ht="28.5" customHeight="1" x14ac:dyDescent="0.25">
      <c r="B106" s="1068" t="str">
        <f>"per 31/12/"&amp;$K$13</f>
        <v>per 31/12/2019</v>
      </c>
      <c r="C106" s="1069"/>
      <c r="D106" s="1069"/>
      <c r="E106" s="1070"/>
      <c r="F106" s="162"/>
      <c r="G106" s="684">
        <f>+G105+G42</f>
        <v>0</v>
      </c>
      <c r="H106" s="684">
        <f>+H105+H42</f>
        <v>0</v>
      </c>
      <c r="I106" s="684">
        <f>+I105+I42</f>
        <v>0</v>
      </c>
      <c r="J106" s="684">
        <f>+J105+J42</f>
        <v>0</v>
      </c>
      <c r="K106" s="684">
        <f>+$K$16+K42</f>
        <v>0</v>
      </c>
      <c r="L106" s="684"/>
      <c r="M106" s="394">
        <v>2020</v>
      </c>
      <c r="N106" s="679">
        <f t="shared" si="11"/>
        <v>0</v>
      </c>
    </row>
    <row r="107" spans="2:14" ht="28.5" customHeight="1" x14ac:dyDescent="0.25">
      <c r="B107" s="1068" t="str">
        <f>"per 31/12/"&amp;$L$13</f>
        <v>per 31/12/2020</v>
      </c>
      <c r="C107" s="1069"/>
      <c r="D107" s="1069"/>
      <c r="E107" s="1070"/>
      <c r="F107" s="162"/>
      <c r="G107" s="684">
        <f>+G106+G43</f>
        <v>0</v>
      </c>
      <c r="H107" s="684">
        <f>+H106+H43</f>
        <v>0</v>
      </c>
      <c r="I107" s="684">
        <f>+I106+I43</f>
        <v>0</v>
      </c>
      <c r="J107" s="684">
        <f>+J106+J43</f>
        <v>0</v>
      </c>
      <c r="K107" s="684">
        <f>+K106+K43</f>
        <v>0</v>
      </c>
      <c r="L107" s="684">
        <f>+$L$16+L43</f>
        <v>0</v>
      </c>
      <c r="M107" s="394">
        <v>2021</v>
      </c>
      <c r="N107" s="679">
        <f t="shared" si="11"/>
        <v>0</v>
      </c>
    </row>
    <row r="108" spans="2:14" ht="30" customHeight="1" x14ac:dyDescent="0.25">
      <c r="B108" s="1077" t="s">
        <v>133</v>
      </c>
      <c r="C108" s="1078"/>
      <c r="D108" s="1078"/>
      <c r="E108" s="1079"/>
      <c r="F108" s="162"/>
      <c r="G108" s="686"/>
      <c r="H108" s="686"/>
      <c r="I108" s="686"/>
      <c r="J108" s="686"/>
      <c r="K108" s="686"/>
      <c r="L108" s="686"/>
      <c r="N108" s="686"/>
    </row>
    <row r="109" spans="2:14" ht="28.5" customHeight="1" x14ac:dyDescent="0.25">
      <c r="B109" s="1068" t="str">
        <f>"per 31/12/"&amp;$G$13</f>
        <v>per 31/12/2015</v>
      </c>
      <c r="C109" s="1069"/>
      <c r="D109" s="1069"/>
      <c r="E109" s="1070"/>
      <c r="F109" s="162"/>
      <c r="G109" s="684">
        <f>+$G$17+G45</f>
        <v>0</v>
      </c>
      <c r="H109" s="684"/>
      <c r="I109" s="684"/>
      <c r="J109" s="684"/>
      <c r="K109" s="684"/>
      <c r="L109" s="684"/>
      <c r="M109" s="394">
        <v>2016</v>
      </c>
      <c r="N109" s="679">
        <f t="shared" ref="N109:N114" si="12">SUM(G109:L109)</f>
        <v>0</v>
      </c>
    </row>
    <row r="110" spans="2:14" ht="28.5" customHeight="1" x14ac:dyDescent="0.25">
      <c r="B110" s="1068" t="str">
        <f>"per 31/12/"&amp;$H$13</f>
        <v>per 31/12/2016</v>
      </c>
      <c r="C110" s="1069"/>
      <c r="D110" s="1069"/>
      <c r="E110" s="1070"/>
      <c r="F110" s="162"/>
      <c r="G110" s="684">
        <f>+G109+G46</f>
        <v>0</v>
      </c>
      <c r="H110" s="684">
        <f>+$H$17+H46</f>
        <v>0</v>
      </c>
      <c r="I110" s="684"/>
      <c r="J110" s="684"/>
      <c r="K110" s="684"/>
      <c r="L110" s="684"/>
      <c r="M110" s="394">
        <v>2017</v>
      </c>
      <c r="N110" s="679">
        <f t="shared" si="12"/>
        <v>0</v>
      </c>
    </row>
    <row r="111" spans="2:14" ht="28.5" customHeight="1" x14ac:dyDescent="0.25">
      <c r="B111" s="1068" t="str">
        <f>"per 31/12/"&amp;$I$13</f>
        <v>per 31/12/2017</v>
      </c>
      <c r="C111" s="1069"/>
      <c r="D111" s="1069"/>
      <c r="E111" s="1070"/>
      <c r="F111" s="162"/>
      <c r="G111" s="684">
        <f>+G110+G47</f>
        <v>0</v>
      </c>
      <c r="H111" s="684">
        <f>+H110+H47</f>
        <v>0</v>
      </c>
      <c r="I111" s="684">
        <f>+$I$17+I47</f>
        <v>0</v>
      </c>
      <c r="J111" s="684"/>
      <c r="K111" s="684"/>
      <c r="L111" s="684"/>
      <c r="M111" s="394">
        <v>2018</v>
      </c>
      <c r="N111" s="679">
        <f t="shared" si="12"/>
        <v>0</v>
      </c>
    </row>
    <row r="112" spans="2:14" ht="28.5" customHeight="1" x14ac:dyDescent="0.25">
      <c r="B112" s="1068" t="str">
        <f>"per 31/12/"&amp;$J$13</f>
        <v>per 31/12/2018</v>
      </c>
      <c r="C112" s="1069"/>
      <c r="D112" s="1069"/>
      <c r="E112" s="1070"/>
      <c r="F112" s="162"/>
      <c r="G112" s="684">
        <f>+G111+G48</f>
        <v>0</v>
      </c>
      <c r="H112" s="684">
        <f>+H111+H48</f>
        <v>0</v>
      </c>
      <c r="I112" s="684">
        <f>+I111+I48</f>
        <v>0</v>
      </c>
      <c r="J112" s="684">
        <f>+$J$17+J48</f>
        <v>0</v>
      </c>
      <c r="K112" s="684"/>
      <c r="L112" s="684"/>
      <c r="M112" s="394">
        <v>2019</v>
      </c>
      <c r="N112" s="679">
        <f t="shared" si="12"/>
        <v>0</v>
      </c>
    </row>
    <row r="113" spans="2:14" ht="28.5" customHeight="1" x14ac:dyDescent="0.25">
      <c r="B113" s="1068" t="str">
        <f>"per 31/12/"&amp;$K$13</f>
        <v>per 31/12/2019</v>
      </c>
      <c r="C113" s="1069"/>
      <c r="D113" s="1069"/>
      <c r="E113" s="1070"/>
      <c r="F113" s="162"/>
      <c r="G113" s="684">
        <f>+G112+G49</f>
        <v>0</v>
      </c>
      <c r="H113" s="684">
        <f>+H112+H49</f>
        <v>0</v>
      </c>
      <c r="I113" s="684">
        <f>+I112+I49</f>
        <v>0</v>
      </c>
      <c r="J113" s="684">
        <f>+J112+J49</f>
        <v>0</v>
      </c>
      <c r="K113" s="684">
        <f>+$K$17+K49</f>
        <v>0</v>
      </c>
      <c r="L113" s="684"/>
      <c r="M113" s="394">
        <v>2020</v>
      </c>
      <c r="N113" s="679">
        <f t="shared" si="12"/>
        <v>0</v>
      </c>
    </row>
    <row r="114" spans="2:14" ht="28.5" customHeight="1" x14ac:dyDescent="0.25">
      <c r="B114" s="1068" t="str">
        <f>"per 31/12/"&amp;$L$13</f>
        <v>per 31/12/2020</v>
      </c>
      <c r="C114" s="1069"/>
      <c r="D114" s="1069"/>
      <c r="E114" s="1070"/>
      <c r="F114" s="162"/>
      <c r="G114" s="684">
        <f>+G113+G50</f>
        <v>0</v>
      </c>
      <c r="H114" s="684">
        <f>+H113+H50</f>
        <v>0</v>
      </c>
      <c r="I114" s="684">
        <f>+I113+I50</f>
        <v>0</v>
      </c>
      <c r="J114" s="684">
        <f>+J113+J50</f>
        <v>0</v>
      </c>
      <c r="K114" s="684">
        <f>+K113+K50</f>
        <v>0</v>
      </c>
      <c r="L114" s="684">
        <f>+$L$17+L50</f>
        <v>0</v>
      </c>
      <c r="M114" s="394">
        <v>2021</v>
      </c>
      <c r="N114" s="679">
        <f t="shared" si="12"/>
        <v>0</v>
      </c>
    </row>
    <row r="115" spans="2:14" ht="27" customHeight="1" x14ac:dyDescent="0.25">
      <c r="B115" s="1080" t="s">
        <v>239</v>
      </c>
      <c r="C115" s="1080"/>
      <c r="D115" s="1080"/>
      <c r="E115" s="1080"/>
      <c r="F115" s="162"/>
      <c r="G115" s="686"/>
      <c r="H115" s="686"/>
      <c r="I115" s="686"/>
      <c r="J115" s="686"/>
      <c r="K115" s="686"/>
      <c r="L115" s="686"/>
      <c r="N115" s="686"/>
    </row>
    <row r="116" spans="2:14" ht="28.5" customHeight="1" x14ac:dyDescent="0.25">
      <c r="B116" s="1068" t="str">
        <f>"per 31/12/"&amp;$G$13</f>
        <v>per 31/12/2015</v>
      </c>
      <c r="C116" s="1069"/>
      <c r="D116" s="1069"/>
      <c r="E116" s="1070"/>
      <c r="F116" s="162"/>
      <c r="G116" s="684">
        <f>+$G$18+G52</f>
        <v>0</v>
      </c>
      <c r="H116" s="684"/>
      <c r="I116" s="684"/>
      <c r="J116" s="684"/>
      <c r="K116" s="684"/>
      <c r="L116" s="684"/>
      <c r="M116" s="394">
        <v>2016</v>
      </c>
      <c r="N116" s="679">
        <f t="shared" ref="N116:N121" si="13">SUM(G116:L116)</f>
        <v>0</v>
      </c>
    </row>
    <row r="117" spans="2:14" ht="28.5" customHeight="1" x14ac:dyDescent="0.25">
      <c r="B117" s="1068" t="str">
        <f>"per 31/12/"&amp;$H$13</f>
        <v>per 31/12/2016</v>
      </c>
      <c r="C117" s="1069"/>
      <c r="D117" s="1069"/>
      <c r="E117" s="1070"/>
      <c r="F117" s="162"/>
      <c r="G117" s="684">
        <f>+G116+G53</f>
        <v>0</v>
      </c>
      <c r="H117" s="684">
        <f>+$H$18+H53</f>
        <v>0</v>
      </c>
      <c r="I117" s="684"/>
      <c r="J117" s="684"/>
      <c r="K117" s="684"/>
      <c r="L117" s="684"/>
      <c r="M117" s="394">
        <v>2017</v>
      </c>
      <c r="N117" s="679">
        <f t="shared" si="13"/>
        <v>0</v>
      </c>
    </row>
    <row r="118" spans="2:14" ht="28.5" customHeight="1" x14ac:dyDescent="0.25">
      <c r="B118" s="1068" t="str">
        <f>"per 31/12/"&amp;$I$13</f>
        <v>per 31/12/2017</v>
      </c>
      <c r="C118" s="1069"/>
      <c r="D118" s="1069"/>
      <c r="E118" s="1070"/>
      <c r="F118" s="162"/>
      <c r="G118" s="684">
        <f>+G117+G54</f>
        <v>0</v>
      </c>
      <c r="H118" s="684">
        <f>+H117+H54</f>
        <v>0</v>
      </c>
      <c r="I118" s="684">
        <f>+$I$18+I54</f>
        <v>0</v>
      </c>
      <c r="J118" s="684"/>
      <c r="K118" s="684"/>
      <c r="L118" s="684"/>
      <c r="M118" s="394">
        <v>2018</v>
      </c>
      <c r="N118" s="679">
        <f t="shared" si="13"/>
        <v>0</v>
      </c>
    </row>
    <row r="119" spans="2:14" ht="28.5" customHeight="1" x14ac:dyDescent="0.25">
      <c r="B119" s="1068" t="str">
        <f>"per 31/12/"&amp;$J$13</f>
        <v>per 31/12/2018</v>
      </c>
      <c r="C119" s="1069"/>
      <c r="D119" s="1069"/>
      <c r="E119" s="1070"/>
      <c r="F119" s="162"/>
      <c r="G119" s="684">
        <f>+G118+G55</f>
        <v>0</v>
      </c>
      <c r="H119" s="684">
        <f>+H118+H55</f>
        <v>0</v>
      </c>
      <c r="I119" s="684">
        <f>+I118+I55</f>
        <v>0</v>
      </c>
      <c r="J119" s="684">
        <f>+$J$18+J55</f>
        <v>0</v>
      </c>
      <c r="K119" s="684"/>
      <c r="L119" s="684"/>
      <c r="M119" s="394">
        <v>2019</v>
      </c>
      <c r="N119" s="679">
        <f t="shared" si="13"/>
        <v>0</v>
      </c>
    </row>
    <row r="120" spans="2:14" ht="28.5" customHeight="1" x14ac:dyDescent="0.25">
      <c r="B120" s="1068" t="str">
        <f>"per 31/12/"&amp;$K$13</f>
        <v>per 31/12/2019</v>
      </c>
      <c r="C120" s="1069"/>
      <c r="D120" s="1069"/>
      <c r="E120" s="1070"/>
      <c r="F120" s="162"/>
      <c r="G120" s="684">
        <f>+G119+G56</f>
        <v>0</v>
      </c>
      <c r="H120" s="684">
        <f>+H119+H56</f>
        <v>0</v>
      </c>
      <c r="I120" s="684">
        <f>+I119+I56</f>
        <v>0</v>
      </c>
      <c r="J120" s="684">
        <f>+J119+J56</f>
        <v>0</v>
      </c>
      <c r="K120" s="684">
        <f>+$K$18+K56</f>
        <v>0</v>
      </c>
      <c r="L120" s="684"/>
      <c r="M120" s="394">
        <v>2020</v>
      </c>
      <c r="N120" s="679">
        <f t="shared" si="13"/>
        <v>0</v>
      </c>
    </row>
    <row r="121" spans="2:14" ht="28.5" customHeight="1" x14ac:dyDescent="0.25">
      <c r="B121" s="1068" t="str">
        <f>"per 31/12/"&amp;$L$13</f>
        <v>per 31/12/2020</v>
      </c>
      <c r="C121" s="1069"/>
      <c r="D121" s="1069"/>
      <c r="E121" s="1070"/>
      <c r="F121" s="162"/>
      <c r="G121" s="684">
        <f>+G120+G57</f>
        <v>0</v>
      </c>
      <c r="H121" s="684">
        <f>+H120+H57</f>
        <v>0</v>
      </c>
      <c r="I121" s="684">
        <f>+I120+I57</f>
        <v>0</v>
      </c>
      <c r="J121" s="684">
        <f>+J120+J57</f>
        <v>0</v>
      </c>
      <c r="K121" s="684">
        <f>+K120+K57</f>
        <v>0</v>
      </c>
      <c r="L121" s="684">
        <f>+$L$18+L57</f>
        <v>0</v>
      </c>
      <c r="M121" s="394">
        <v>2021</v>
      </c>
      <c r="N121" s="679">
        <f t="shared" si="13"/>
        <v>0</v>
      </c>
    </row>
    <row r="122" spans="2:14" ht="26.25" customHeight="1" x14ac:dyDescent="0.25">
      <c r="B122" s="1077" t="s">
        <v>237</v>
      </c>
      <c r="C122" s="1078"/>
      <c r="D122" s="1078"/>
      <c r="E122" s="1079"/>
      <c r="F122" s="162"/>
      <c r="G122" s="686"/>
      <c r="H122" s="686"/>
      <c r="I122" s="686"/>
      <c r="J122" s="686"/>
      <c r="K122" s="686"/>
      <c r="L122" s="686"/>
      <c r="N122" s="686"/>
    </row>
    <row r="123" spans="2:14" ht="28.5" customHeight="1" x14ac:dyDescent="0.25">
      <c r="B123" s="1068" t="str">
        <f>"per 31/12/"&amp;$G$13</f>
        <v>per 31/12/2015</v>
      </c>
      <c r="C123" s="1069"/>
      <c r="D123" s="1069"/>
      <c r="E123" s="1070"/>
      <c r="F123" s="162"/>
      <c r="G123" s="684">
        <f>+$G$19+G59</f>
        <v>0</v>
      </c>
      <c r="H123" s="684"/>
      <c r="I123" s="684"/>
      <c r="J123" s="684"/>
      <c r="K123" s="684"/>
      <c r="L123" s="684"/>
      <c r="M123" s="394">
        <v>2016</v>
      </c>
      <c r="N123" s="679">
        <f t="shared" ref="N123:N128" si="14">SUM(G123:L123)</f>
        <v>0</v>
      </c>
    </row>
    <row r="124" spans="2:14" ht="28.5" customHeight="1" x14ac:dyDescent="0.25">
      <c r="B124" s="1068" t="str">
        <f>"per 31/12/"&amp;$H$13</f>
        <v>per 31/12/2016</v>
      </c>
      <c r="C124" s="1069"/>
      <c r="D124" s="1069"/>
      <c r="E124" s="1070"/>
      <c r="F124" s="162"/>
      <c r="G124" s="684">
        <f>+G123+G60</f>
        <v>0</v>
      </c>
      <c r="H124" s="684">
        <f>+$H$19+H60</f>
        <v>0</v>
      </c>
      <c r="I124" s="684"/>
      <c r="J124" s="684"/>
      <c r="K124" s="684"/>
      <c r="L124" s="684"/>
      <c r="M124" s="394">
        <v>2017</v>
      </c>
      <c r="N124" s="679">
        <f t="shared" si="14"/>
        <v>0</v>
      </c>
    </row>
    <row r="125" spans="2:14" ht="28.5" customHeight="1" x14ac:dyDescent="0.25">
      <c r="B125" s="1068" t="str">
        <f>"per 31/12/"&amp;$I$13</f>
        <v>per 31/12/2017</v>
      </c>
      <c r="C125" s="1069"/>
      <c r="D125" s="1069"/>
      <c r="E125" s="1070"/>
      <c r="F125" s="162"/>
      <c r="G125" s="684">
        <f>+G124+G61</f>
        <v>0</v>
      </c>
      <c r="H125" s="684">
        <f>+H124+H61</f>
        <v>0</v>
      </c>
      <c r="I125" s="684">
        <f>+$I$19+I61</f>
        <v>0</v>
      </c>
      <c r="J125" s="684"/>
      <c r="K125" s="684"/>
      <c r="L125" s="684"/>
      <c r="M125" s="394">
        <v>2018</v>
      </c>
      <c r="N125" s="679">
        <f t="shared" si="14"/>
        <v>0</v>
      </c>
    </row>
    <row r="126" spans="2:14" ht="28.5" customHeight="1" x14ac:dyDescent="0.25">
      <c r="B126" s="1068" t="str">
        <f>"per 31/12/"&amp;$J$13</f>
        <v>per 31/12/2018</v>
      </c>
      <c r="C126" s="1069"/>
      <c r="D126" s="1069"/>
      <c r="E126" s="1070"/>
      <c r="F126" s="162"/>
      <c r="G126" s="684">
        <f>+G125+G62</f>
        <v>0</v>
      </c>
      <c r="H126" s="684">
        <f>+H125+H62</f>
        <v>0</v>
      </c>
      <c r="I126" s="684">
        <f>+I125+I62</f>
        <v>0</v>
      </c>
      <c r="J126" s="684">
        <f>+$J$19+J62</f>
        <v>0</v>
      </c>
      <c r="K126" s="684"/>
      <c r="L126" s="684"/>
      <c r="M126" s="394">
        <v>2019</v>
      </c>
      <c r="N126" s="679">
        <f t="shared" si="14"/>
        <v>0</v>
      </c>
    </row>
    <row r="127" spans="2:14" ht="28.5" customHeight="1" x14ac:dyDescent="0.25">
      <c r="B127" s="1068" t="str">
        <f>"per 31/12/"&amp;$K$13</f>
        <v>per 31/12/2019</v>
      </c>
      <c r="C127" s="1069"/>
      <c r="D127" s="1069"/>
      <c r="E127" s="1070"/>
      <c r="F127" s="162"/>
      <c r="G127" s="684">
        <f>+G126+G63</f>
        <v>0</v>
      </c>
      <c r="H127" s="684">
        <f>+H126+H63</f>
        <v>0</v>
      </c>
      <c r="I127" s="684">
        <f>+I126+I63</f>
        <v>0</v>
      </c>
      <c r="J127" s="684">
        <f>+J126+J63</f>
        <v>0</v>
      </c>
      <c r="K127" s="684">
        <f>+$K$19+K63</f>
        <v>0</v>
      </c>
      <c r="L127" s="684"/>
      <c r="M127" s="394">
        <v>2020</v>
      </c>
      <c r="N127" s="679">
        <f t="shared" si="14"/>
        <v>0</v>
      </c>
    </row>
    <row r="128" spans="2:14" ht="28.5" customHeight="1" x14ac:dyDescent="0.25">
      <c r="B128" s="1068" t="str">
        <f>"per 31/12/"&amp;$L$13</f>
        <v>per 31/12/2020</v>
      </c>
      <c r="C128" s="1069"/>
      <c r="D128" s="1069"/>
      <c r="E128" s="1070"/>
      <c r="F128" s="162"/>
      <c r="G128" s="684">
        <f>+G127+G64</f>
        <v>0</v>
      </c>
      <c r="H128" s="684">
        <f>+H127+H64</f>
        <v>0</v>
      </c>
      <c r="I128" s="684">
        <f>+I127+I64</f>
        <v>0</v>
      </c>
      <c r="J128" s="684">
        <f>+J127+J64</f>
        <v>0</v>
      </c>
      <c r="K128" s="684">
        <f>+K127+K64</f>
        <v>0</v>
      </c>
      <c r="L128" s="684">
        <f>+$L$19+L64</f>
        <v>0</v>
      </c>
      <c r="M128" s="394">
        <v>2021</v>
      </c>
      <c r="N128" s="679">
        <f t="shared" si="14"/>
        <v>0</v>
      </c>
    </row>
    <row r="129" spans="2:14" ht="32.25" customHeight="1" x14ac:dyDescent="0.25">
      <c r="B129" s="1077" t="s">
        <v>287</v>
      </c>
      <c r="C129" s="1078"/>
      <c r="D129" s="1078"/>
      <c r="E129" s="1079"/>
      <c r="F129" s="162"/>
      <c r="G129" s="686"/>
      <c r="H129" s="686"/>
      <c r="I129" s="686"/>
      <c r="J129" s="686"/>
      <c r="K129" s="686"/>
      <c r="L129" s="686"/>
      <c r="N129" s="686"/>
    </row>
    <row r="130" spans="2:14" ht="28.5" customHeight="1" x14ac:dyDescent="0.25">
      <c r="B130" s="1068" t="str">
        <f>"per 31/12/"&amp;$G$13</f>
        <v>per 31/12/2015</v>
      </c>
      <c r="C130" s="1069"/>
      <c r="D130" s="1069"/>
      <c r="E130" s="1070"/>
      <c r="F130" s="162"/>
      <c r="G130" s="684">
        <f>+$G$20+G66</f>
        <v>0</v>
      </c>
      <c r="H130" s="684"/>
      <c r="I130" s="684"/>
      <c r="J130" s="684"/>
      <c r="K130" s="684"/>
      <c r="L130" s="684"/>
      <c r="M130" s="394">
        <v>2016</v>
      </c>
      <c r="N130" s="679">
        <f t="shared" ref="N130:N135" si="15">SUM(G130:L130)</f>
        <v>0</v>
      </c>
    </row>
    <row r="131" spans="2:14" ht="28.5" customHeight="1" x14ac:dyDescent="0.25">
      <c r="B131" s="1068" t="str">
        <f>"per 31/12/"&amp;$H$13</f>
        <v>per 31/12/2016</v>
      </c>
      <c r="C131" s="1069"/>
      <c r="D131" s="1069"/>
      <c r="E131" s="1070"/>
      <c r="F131" s="162"/>
      <c r="G131" s="684">
        <f>+G130+G67</f>
        <v>0</v>
      </c>
      <c r="H131" s="684">
        <f>+$H$20+H67</f>
        <v>0</v>
      </c>
      <c r="I131" s="684"/>
      <c r="J131" s="684"/>
      <c r="K131" s="684"/>
      <c r="L131" s="684"/>
      <c r="M131" s="394">
        <v>2017</v>
      </c>
      <c r="N131" s="679">
        <f t="shared" si="15"/>
        <v>0</v>
      </c>
    </row>
    <row r="132" spans="2:14" ht="28.5" customHeight="1" x14ac:dyDescent="0.25">
      <c r="B132" s="1068" t="str">
        <f>"per 31/12/"&amp;$I$13</f>
        <v>per 31/12/2017</v>
      </c>
      <c r="C132" s="1069"/>
      <c r="D132" s="1069"/>
      <c r="E132" s="1070"/>
      <c r="F132" s="162"/>
      <c r="G132" s="684">
        <f>+G131+G68</f>
        <v>0</v>
      </c>
      <c r="H132" s="684">
        <f>+H131+H68</f>
        <v>0</v>
      </c>
      <c r="I132" s="684">
        <f>+$I$20+I68</f>
        <v>0</v>
      </c>
      <c r="J132" s="684"/>
      <c r="K132" s="684"/>
      <c r="L132" s="684"/>
      <c r="M132" s="394">
        <v>2018</v>
      </c>
      <c r="N132" s="679">
        <f t="shared" si="15"/>
        <v>0</v>
      </c>
    </row>
    <row r="133" spans="2:14" ht="28.5" customHeight="1" x14ac:dyDescent="0.25">
      <c r="B133" s="1068" t="str">
        <f>"per 31/12/"&amp;$J$13</f>
        <v>per 31/12/2018</v>
      </c>
      <c r="C133" s="1069"/>
      <c r="D133" s="1069"/>
      <c r="E133" s="1070"/>
      <c r="F133" s="162"/>
      <c r="G133" s="684">
        <f>+G132+G69</f>
        <v>0</v>
      </c>
      <c r="H133" s="684">
        <f>+H132+H69</f>
        <v>0</v>
      </c>
      <c r="I133" s="684">
        <f>+I132+I69</f>
        <v>0</v>
      </c>
      <c r="J133" s="684">
        <f>+$J$20+J69</f>
        <v>0</v>
      </c>
      <c r="K133" s="684"/>
      <c r="L133" s="684"/>
      <c r="M133" s="394">
        <v>2019</v>
      </c>
      <c r="N133" s="679">
        <f t="shared" si="15"/>
        <v>0</v>
      </c>
    </row>
    <row r="134" spans="2:14" ht="28.5" customHeight="1" x14ac:dyDescent="0.25">
      <c r="B134" s="1068" t="str">
        <f>"per 31/12/"&amp;$K$13</f>
        <v>per 31/12/2019</v>
      </c>
      <c r="C134" s="1069"/>
      <c r="D134" s="1069"/>
      <c r="E134" s="1070"/>
      <c r="F134" s="162"/>
      <c r="G134" s="684">
        <f>+G133+G70</f>
        <v>0</v>
      </c>
      <c r="H134" s="684">
        <f>+H133+H70</f>
        <v>0</v>
      </c>
      <c r="I134" s="684">
        <f>+I133+I70</f>
        <v>0</v>
      </c>
      <c r="J134" s="684">
        <f>+J133+J70</f>
        <v>0</v>
      </c>
      <c r="K134" s="684">
        <f>+$K$20+K70</f>
        <v>0</v>
      </c>
      <c r="L134" s="684"/>
      <c r="M134" s="394">
        <v>2020</v>
      </c>
      <c r="N134" s="679">
        <f t="shared" si="15"/>
        <v>0</v>
      </c>
    </row>
    <row r="135" spans="2:14" ht="28.5" customHeight="1" x14ac:dyDescent="0.25">
      <c r="B135" s="1068" t="str">
        <f>"per 31/12/"&amp;$L$13</f>
        <v>per 31/12/2020</v>
      </c>
      <c r="C135" s="1069"/>
      <c r="D135" s="1069"/>
      <c r="E135" s="1070"/>
      <c r="F135" s="162"/>
      <c r="G135" s="684">
        <f>+G134+G71</f>
        <v>0</v>
      </c>
      <c r="H135" s="684">
        <f>+H134+H71</f>
        <v>0</v>
      </c>
      <c r="I135" s="684">
        <f>+I134+I71</f>
        <v>0</v>
      </c>
      <c r="J135" s="684">
        <f>+J134+J71</f>
        <v>0</v>
      </c>
      <c r="K135" s="684">
        <f>+K134+K71</f>
        <v>0</v>
      </c>
      <c r="L135" s="684">
        <f>+$L$20+L71</f>
        <v>0</v>
      </c>
      <c r="M135" s="394">
        <v>2021</v>
      </c>
      <c r="N135" s="679">
        <f t="shared" si="15"/>
        <v>0</v>
      </c>
    </row>
    <row r="136" spans="2:14" ht="33" customHeight="1" x14ac:dyDescent="0.25">
      <c r="B136" s="1074" t="s">
        <v>134</v>
      </c>
      <c r="C136" s="1075"/>
      <c r="D136" s="1075"/>
      <c r="E136" s="1076"/>
      <c r="F136" s="162"/>
      <c r="G136" s="686"/>
      <c r="H136" s="686"/>
      <c r="I136" s="686"/>
      <c r="J136" s="686"/>
      <c r="K136" s="686"/>
      <c r="L136" s="686"/>
      <c r="N136" s="686"/>
    </row>
    <row r="137" spans="2:14" ht="28.5" customHeight="1" x14ac:dyDescent="0.25">
      <c r="B137" s="1068" t="str">
        <f>"per 31/12/"&amp;$G$13</f>
        <v>per 31/12/2015</v>
      </c>
      <c r="C137" s="1069"/>
      <c r="D137" s="1069"/>
      <c r="E137" s="1070"/>
      <c r="F137" s="162"/>
      <c r="G137" s="687">
        <f>+$G$21+G73</f>
        <v>0</v>
      </c>
      <c r="H137" s="684"/>
      <c r="I137" s="684"/>
      <c r="J137" s="684"/>
      <c r="K137" s="684"/>
      <c r="L137" s="684"/>
      <c r="M137" s="394">
        <v>2016</v>
      </c>
      <c r="N137" s="679">
        <f t="shared" ref="N137:N142" si="16">SUM(G137:L137)</f>
        <v>0</v>
      </c>
    </row>
    <row r="138" spans="2:14" ht="28.5" customHeight="1" x14ac:dyDescent="0.25">
      <c r="B138" s="1068" t="str">
        <f>"per 31/12/"&amp;$H$13</f>
        <v>per 31/12/2016</v>
      </c>
      <c r="C138" s="1069"/>
      <c r="D138" s="1069"/>
      <c r="E138" s="1070"/>
      <c r="F138" s="162"/>
      <c r="G138" s="684">
        <f>+G137+G74</f>
        <v>0</v>
      </c>
      <c r="H138" s="684">
        <f>+$H$21+H74</f>
        <v>0</v>
      </c>
      <c r="I138" s="684"/>
      <c r="J138" s="684"/>
      <c r="K138" s="684"/>
      <c r="L138" s="684"/>
      <c r="M138" s="394">
        <v>2017</v>
      </c>
      <c r="N138" s="679">
        <f t="shared" si="16"/>
        <v>0</v>
      </c>
    </row>
    <row r="139" spans="2:14" ht="28.5" customHeight="1" x14ac:dyDescent="0.25">
      <c r="B139" s="1068" t="str">
        <f>"per 31/12/"&amp;$I$13</f>
        <v>per 31/12/2017</v>
      </c>
      <c r="C139" s="1069"/>
      <c r="D139" s="1069"/>
      <c r="E139" s="1070"/>
      <c r="F139" s="162"/>
      <c r="G139" s="684">
        <f>+G138+G75</f>
        <v>0</v>
      </c>
      <c r="H139" s="684">
        <f>+H138+H75</f>
        <v>0</v>
      </c>
      <c r="I139" s="684">
        <f>+$I$21+I75</f>
        <v>0</v>
      </c>
      <c r="J139" s="684"/>
      <c r="K139" s="684"/>
      <c r="L139" s="684"/>
      <c r="M139" s="394">
        <v>2018</v>
      </c>
      <c r="N139" s="679">
        <f t="shared" si="16"/>
        <v>0</v>
      </c>
    </row>
    <row r="140" spans="2:14" ht="28.5" customHeight="1" x14ac:dyDescent="0.25">
      <c r="B140" s="1068" t="str">
        <f>"per 31/12/"&amp;$J$13</f>
        <v>per 31/12/2018</v>
      </c>
      <c r="C140" s="1069"/>
      <c r="D140" s="1069"/>
      <c r="E140" s="1070"/>
      <c r="F140" s="162"/>
      <c r="G140" s="684">
        <f>+G139+G76</f>
        <v>0</v>
      </c>
      <c r="H140" s="684">
        <f>+H139+H76</f>
        <v>0</v>
      </c>
      <c r="I140" s="684">
        <f>+I139+I76</f>
        <v>0</v>
      </c>
      <c r="J140" s="684">
        <f>+$J$21+J76</f>
        <v>0</v>
      </c>
      <c r="K140" s="684"/>
      <c r="L140" s="684"/>
      <c r="M140" s="394">
        <v>2019</v>
      </c>
      <c r="N140" s="679">
        <f t="shared" si="16"/>
        <v>0</v>
      </c>
    </row>
    <row r="141" spans="2:14" ht="28.5" customHeight="1" x14ac:dyDescent="0.25">
      <c r="B141" s="1068" t="str">
        <f>"per 31/12/"&amp;$K$13</f>
        <v>per 31/12/2019</v>
      </c>
      <c r="C141" s="1069"/>
      <c r="D141" s="1069"/>
      <c r="E141" s="1070"/>
      <c r="F141" s="162"/>
      <c r="G141" s="684">
        <f>+G140+G77</f>
        <v>0</v>
      </c>
      <c r="H141" s="684">
        <f>+H140+H77</f>
        <v>0</v>
      </c>
      <c r="I141" s="684">
        <f>+I140+I77</f>
        <v>0</v>
      </c>
      <c r="J141" s="684">
        <f>+J140+J77</f>
        <v>0</v>
      </c>
      <c r="K141" s="684">
        <f>+$K$21+K77</f>
        <v>0</v>
      </c>
      <c r="L141" s="684"/>
      <c r="M141" s="394">
        <v>2020</v>
      </c>
      <c r="N141" s="679">
        <f t="shared" si="16"/>
        <v>0</v>
      </c>
    </row>
    <row r="142" spans="2:14" ht="28.5" customHeight="1" x14ac:dyDescent="0.25">
      <c r="B142" s="1068" t="str">
        <f>"per 31/12/"&amp;$L$13</f>
        <v>per 31/12/2020</v>
      </c>
      <c r="C142" s="1069"/>
      <c r="D142" s="1069"/>
      <c r="E142" s="1070"/>
      <c r="F142" s="162"/>
      <c r="G142" s="684">
        <f>+G141+G78</f>
        <v>0</v>
      </c>
      <c r="H142" s="684">
        <f>+H141+H78</f>
        <v>0</v>
      </c>
      <c r="I142" s="684">
        <f>+I141+I78</f>
        <v>0</v>
      </c>
      <c r="J142" s="684">
        <f>+J141+J78</f>
        <v>0</v>
      </c>
      <c r="K142" s="684">
        <f>+K141+K78</f>
        <v>0</v>
      </c>
      <c r="L142" s="684">
        <f>+$L$21+L78</f>
        <v>0</v>
      </c>
      <c r="M142" s="394">
        <v>2021</v>
      </c>
      <c r="N142" s="679">
        <f t="shared" si="16"/>
        <v>0</v>
      </c>
    </row>
    <row r="143" spans="2:14" ht="13" x14ac:dyDescent="0.3">
      <c r="G143" s="680"/>
      <c r="H143" s="680"/>
      <c r="I143" s="680"/>
      <c r="J143" s="680"/>
      <c r="K143" s="680"/>
      <c r="L143" s="680"/>
      <c r="N143" s="845"/>
    </row>
    <row r="144" spans="2:14" ht="13" x14ac:dyDescent="0.25">
      <c r="G144" s="675">
        <v>2015</v>
      </c>
      <c r="H144" s="675">
        <f>+G144+1</f>
        <v>2016</v>
      </c>
      <c r="I144" s="675">
        <f>+H144+1</f>
        <v>2017</v>
      </c>
      <c r="J144" s="675">
        <f>+I144+1</f>
        <v>2018</v>
      </c>
      <c r="K144" s="675">
        <f>+J144+1</f>
        <v>2019</v>
      </c>
      <c r="L144" s="675">
        <f>+K144+1</f>
        <v>2020</v>
      </c>
      <c r="M144" s="483"/>
      <c r="N144" s="675" t="s">
        <v>31</v>
      </c>
    </row>
    <row r="145" spans="1:14" s="685" customFormat="1" ht="20.25" customHeight="1" x14ac:dyDescent="0.25">
      <c r="B145" s="1071" t="s">
        <v>336</v>
      </c>
      <c r="C145" s="1072"/>
      <c r="D145" s="1072"/>
      <c r="E145" s="1073"/>
      <c r="F145" s="700"/>
      <c r="G145" s="859"/>
      <c r="H145" s="859"/>
      <c r="I145" s="859"/>
      <c r="J145" s="859"/>
      <c r="K145" s="859"/>
      <c r="L145" s="859"/>
      <c r="M145" s="861"/>
      <c r="N145" s="859"/>
    </row>
    <row r="146" spans="1:14" ht="28.5" customHeight="1" x14ac:dyDescent="0.25">
      <c r="A146" s="394">
        <v>2015</v>
      </c>
      <c r="B146" s="1063" t="str">
        <f>"per 31/12/"&amp;$G$13</f>
        <v>per 31/12/2015</v>
      </c>
      <c r="C146" s="1064"/>
      <c r="D146" s="1064"/>
      <c r="E146" s="1065"/>
      <c r="F146" s="697"/>
      <c r="G146" s="698">
        <f t="shared" ref="G146:L151" si="17">SUM(G95,G102,G109,G116,G123,G130,G137)</f>
        <v>0</v>
      </c>
      <c r="H146" s="698"/>
      <c r="I146" s="698"/>
      <c r="J146" s="698"/>
      <c r="K146" s="698"/>
      <c r="L146" s="698"/>
      <c r="M146" s="394">
        <v>2016</v>
      </c>
      <c r="N146" s="844">
        <f t="shared" ref="N146:N151" si="18">SUM(G146:L146)</f>
        <v>0</v>
      </c>
    </row>
    <row r="147" spans="1:14" ht="28.5" customHeight="1" x14ac:dyDescent="0.25">
      <c r="A147" s="394">
        <v>2016</v>
      </c>
      <c r="B147" s="1063" t="str">
        <f>"per 31/12/"&amp;$H$13</f>
        <v>per 31/12/2016</v>
      </c>
      <c r="C147" s="1064"/>
      <c r="D147" s="1064"/>
      <c r="E147" s="1065"/>
      <c r="F147" s="697"/>
      <c r="G147" s="698">
        <f t="shared" si="17"/>
        <v>0</v>
      </c>
      <c r="H147" s="698">
        <f t="shared" si="17"/>
        <v>0</v>
      </c>
      <c r="I147" s="698"/>
      <c r="J147" s="698"/>
      <c r="K147" s="698"/>
      <c r="L147" s="698"/>
      <c r="M147" s="394">
        <v>2017</v>
      </c>
      <c r="N147" s="844">
        <f t="shared" si="18"/>
        <v>0</v>
      </c>
    </row>
    <row r="148" spans="1:14" ht="28.5" customHeight="1" x14ac:dyDescent="0.25">
      <c r="A148" s="394">
        <v>2017</v>
      </c>
      <c r="B148" s="1063" t="str">
        <f>"per 31/12/"&amp;$I$13</f>
        <v>per 31/12/2017</v>
      </c>
      <c r="C148" s="1064"/>
      <c r="D148" s="1064"/>
      <c r="E148" s="1065"/>
      <c r="F148" s="697"/>
      <c r="G148" s="698">
        <f t="shared" si="17"/>
        <v>0</v>
      </c>
      <c r="H148" s="698">
        <f t="shared" si="17"/>
        <v>0</v>
      </c>
      <c r="I148" s="698">
        <f t="shared" si="17"/>
        <v>0</v>
      </c>
      <c r="J148" s="698"/>
      <c r="K148" s="698"/>
      <c r="L148" s="698"/>
      <c r="M148" s="394">
        <v>2018</v>
      </c>
      <c r="N148" s="844">
        <f t="shared" si="18"/>
        <v>0</v>
      </c>
    </row>
    <row r="149" spans="1:14" ht="28.5" customHeight="1" x14ac:dyDescent="0.25">
      <c r="A149" s="394">
        <v>2018</v>
      </c>
      <c r="B149" s="1063" t="str">
        <f>"per 31/12/"&amp;$J$13</f>
        <v>per 31/12/2018</v>
      </c>
      <c r="C149" s="1064"/>
      <c r="D149" s="1064"/>
      <c r="E149" s="1065"/>
      <c r="F149" s="697"/>
      <c r="G149" s="698">
        <f t="shared" si="17"/>
        <v>0</v>
      </c>
      <c r="H149" s="698">
        <f t="shared" si="17"/>
        <v>0</v>
      </c>
      <c r="I149" s="698">
        <f t="shared" si="17"/>
        <v>0</v>
      </c>
      <c r="J149" s="698">
        <f t="shared" si="17"/>
        <v>0</v>
      </c>
      <c r="K149" s="698"/>
      <c r="L149" s="698"/>
      <c r="M149" s="394">
        <v>2019</v>
      </c>
      <c r="N149" s="844">
        <f t="shared" si="18"/>
        <v>0</v>
      </c>
    </row>
    <row r="150" spans="1:14" ht="28.5" customHeight="1" x14ac:dyDescent="0.25">
      <c r="A150" s="394">
        <v>2019</v>
      </c>
      <c r="B150" s="1063" t="str">
        <f>"per 31/12/"&amp;$K$13</f>
        <v>per 31/12/2019</v>
      </c>
      <c r="C150" s="1064"/>
      <c r="D150" s="1064"/>
      <c r="E150" s="1065"/>
      <c r="F150" s="697"/>
      <c r="G150" s="698">
        <f t="shared" si="17"/>
        <v>0</v>
      </c>
      <c r="H150" s="698">
        <f t="shared" si="17"/>
        <v>0</v>
      </c>
      <c r="I150" s="698">
        <f t="shared" si="17"/>
        <v>0</v>
      </c>
      <c r="J150" s="698">
        <f t="shared" si="17"/>
        <v>0</v>
      </c>
      <c r="K150" s="698">
        <f t="shared" si="17"/>
        <v>0</v>
      </c>
      <c r="L150" s="698"/>
      <c r="M150" s="394">
        <v>2020</v>
      </c>
      <c r="N150" s="844">
        <f t="shared" si="18"/>
        <v>0</v>
      </c>
    </row>
    <row r="151" spans="1:14" ht="28.5" customHeight="1" x14ac:dyDescent="0.25">
      <c r="A151" s="394">
        <v>2020</v>
      </c>
      <c r="B151" s="1063" t="str">
        <f>"per 31/12/"&amp;$L$13</f>
        <v>per 31/12/2020</v>
      </c>
      <c r="C151" s="1064"/>
      <c r="D151" s="1064"/>
      <c r="E151" s="1065"/>
      <c r="F151" s="697"/>
      <c r="G151" s="698">
        <f t="shared" si="17"/>
        <v>0</v>
      </c>
      <c r="H151" s="698">
        <f t="shared" si="17"/>
        <v>0</v>
      </c>
      <c r="I151" s="698">
        <f t="shared" si="17"/>
        <v>0</v>
      </c>
      <c r="J151" s="698">
        <f t="shared" si="17"/>
        <v>0</v>
      </c>
      <c r="K151" s="698">
        <f t="shared" si="17"/>
        <v>0</v>
      </c>
      <c r="L151" s="698">
        <f t="shared" si="17"/>
        <v>0</v>
      </c>
      <c r="M151" s="394">
        <v>2021</v>
      </c>
      <c r="N151" s="844">
        <f t="shared" si="18"/>
        <v>0</v>
      </c>
    </row>
    <row r="152" spans="1:14" s="381" customFormat="1" ht="13" x14ac:dyDescent="0.3">
      <c r="B152" s="1066" t="s">
        <v>247</v>
      </c>
      <c r="C152" s="1066"/>
      <c r="D152" s="1066"/>
      <c r="E152" s="1066"/>
      <c r="G152" s="694">
        <f>(VLOOKUP($D$2,A146:G151,7,FALSE))-T5A!C58</f>
        <v>0</v>
      </c>
      <c r="H152" s="694">
        <f>(VLOOKUP(D2,A146:H151,8,FALSE))-T5A!D58</f>
        <v>0</v>
      </c>
      <c r="I152" s="694">
        <f>(VLOOKUP(D2,A146:I151,9,FALSE))-T5A!E58</f>
        <v>0</v>
      </c>
      <c r="J152" s="694">
        <f>(VLOOKUP(D2,A146:J151,10,FALSE))-T5A!F58</f>
        <v>0</v>
      </c>
      <c r="K152" s="694">
        <f>(VLOOKUP(D2,A146:K151,11,FALSE))-T5A!G58</f>
        <v>0</v>
      </c>
      <c r="L152" s="694">
        <f>(VLOOKUP($D$2,A146:L151,12,FALSE))-T5A!H58</f>
        <v>0</v>
      </c>
      <c r="M152" s="848"/>
      <c r="N152" s="694">
        <f>(VLOOKUP(D2,A146:N151,14,FALSE))-T5A!J58</f>
        <v>0</v>
      </c>
    </row>
    <row r="153" spans="1:14" ht="13" x14ac:dyDescent="0.3">
      <c r="B153" s="390"/>
      <c r="C153" s="390"/>
      <c r="D153" s="390"/>
      <c r="E153" s="390"/>
      <c r="F153" s="391"/>
      <c r="G153" s="392"/>
      <c r="H153" s="392"/>
      <c r="I153" s="392"/>
      <c r="J153" s="392"/>
      <c r="K153" s="392"/>
      <c r="L153" s="392"/>
      <c r="N153" s="392"/>
    </row>
    <row r="154" spans="1:14" ht="13" x14ac:dyDescent="0.3">
      <c r="B154" s="390"/>
      <c r="C154" s="390"/>
      <c r="D154" s="390"/>
      <c r="E154" s="390"/>
      <c r="F154" s="391"/>
      <c r="G154" s="392"/>
      <c r="H154" s="392"/>
      <c r="I154" s="392"/>
      <c r="J154" s="392"/>
      <c r="K154" s="392"/>
      <c r="L154" s="392"/>
      <c r="N154" s="392"/>
    </row>
    <row r="155" spans="1:14" ht="13" x14ac:dyDescent="0.3">
      <c r="B155" s="390"/>
      <c r="C155" s="390"/>
      <c r="D155" s="390"/>
      <c r="E155" s="390"/>
      <c r="F155" s="391"/>
      <c r="G155" s="435" t="s">
        <v>56</v>
      </c>
      <c r="H155" s="392"/>
      <c r="I155" s="392"/>
      <c r="J155" s="392"/>
      <c r="K155" s="392"/>
      <c r="L155" s="392"/>
      <c r="N155" s="392"/>
    </row>
    <row r="156" spans="1:14" ht="13" x14ac:dyDescent="0.3">
      <c r="G156" s="435" t="s">
        <v>57</v>
      </c>
      <c r="H156" s="392"/>
      <c r="I156" s="392"/>
      <c r="J156" s="392"/>
    </row>
    <row r="157" spans="1:14" ht="98.25" customHeight="1" x14ac:dyDescent="0.3">
      <c r="B157" s="1089" t="s">
        <v>130</v>
      </c>
      <c r="C157" s="1090"/>
      <c r="D157" s="1090"/>
      <c r="E157" s="1091"/>
      <c r="F157" s="162"/>
      <c r="G157" s="676" t="str">
        <f>"Afbouw van het regulatoir saldo inzake volumeverschillen m.b.t. endogene kosten (uitgezonderd EAN's) op te nemen in het toegelaten inkomen voor boekjaar "&amp;D2&amp;", en dit conform de bepalingen in de tariefmethodologie omtrent de afbouw van het betreffende regulatoir saldo"</f>
        <v>Afbouw van het regulatoir saldo inzake volumeverschillen m.b.t. endogene kosten (uitgezonderd EAN's) op te nemen in het toegelaten inkomen voor boekjaar 2019, en dit conform de bepalingen in de tariefmethodologie omtrent de afbouw van het betreffende regulatoir saldo</v>
      </c>
      <c r="H157" s="392"/>
      <c r="I157" s="392"/>
      <c r="J157" s="392"/>
    </row>
    <row r="158" spans="1:14" ht="13" x14ac:dyDescent="0.3">
      <c r="B158" s="384"/>
      <c r="C158" s="384"/>
      <c r="D158" s="384"/>
      <c r="E158" s="384"/>
      <c r="F158" s="385"/>
      <c r="G158" s="386"/>
      <c r="H158" s="392"/>
      <c r="I158" s="392"/>
      <c r="J158" s="392"/>
    </row>
    <row r="159" spans="1:14" s="685" customFormat="1" ht="28.5" customHeight="1" x14ac:dyDescent="0.3">
      <c r="B159" s="1081" t="s">
        <v>131</v>
      </c>
      <c r="C159" s="1081"/>
      <c r="D159" s="1081"/>
      <c r="E159" s="1081"/>
      <c r="F159" s="688"/>
      <c r="G159" s="684">
        <f>VLOOKUP($D$2,B204:C207,2,FALSE)</f>
        <v>0</v>
      </c>
      <c r="H159" s="392"/>
      <c r="I159" s="392"/>
      <c r="J159" s="392"/>
      <c r="M159" s="847"/>
    </row>
    <row r="160" spans="1:14" s="685" customFormat="1" ht="18.75" customHeight="1" x14ac:dyDescent="0.3">
      <c r="B160" s="1081" t="s">
        <v>132</v>
      </c>
      <c r="C160" s="1081"/>
      <c r="D160" s="1081"/>
      <c r="E160" s="1081"/>
      <c r="F160" s="688"/>
      <c r="G160" s="684">
        <f>VLOOKUP($D$2,B244:C247,2,FALSE)</f>
        <v>0</v>
      </c>
      <c r="H160" s="392"/>
      <c r="I160" s="392"/>
      <c r="J160" s="392"/>
      <c r="M160" s="847"/>
    </row>
    <row r="161" spans="2:14" s="685" customFormat="1" ht="17.25" customHeight="1" x14ac:dyDescent="0.3">
      <c r="B161" s="1081" t="s">
        <v>133</v>
      </c>
      <c r="C161" s="1081"/>
      <c r="D161" s="1081"/>
      <c r="E161" s="1081"/>
      <c r="F161" s="688"/>
      <c r="G161" s="684">
        <f>VLOOKUP($D$2,B284:C287,2,FALSE)</f>
        <v>0</v>
      </c>
      <c r="H161" s="392"/>
      <c r="I161" s="392"/>
      <c r="J161" s="392"/>
      <c r="M161" s="847"/>
    </row>
    <row r="162" spans="2:14" s="685" customFormat="1" ht="29.25" customHeight="1" x14ac:dyDescent="0.3">
      <c r="B162" s="1081" t="s">
        <v>239</v>
      </c>
      <c r="C162" s="1081"/>
      <c r="D162" s="1081"/>
      <c r="E162" s="1081"/>
      <c r="F162" s="688"/>
      <c r="G162" s="684">
        <f>VLOOKUP($D$2,B324:C327,2,FALSE)</f>
        <v>0</v>
      </c>
      <c r="H162" s="392"/>
      <c r="I162" s="392"/>
      <c r="J162" s="392"/>
      <c r="M162" s="847"/>
    </row>
    <row r="163" spans="2:14" s="685" customFormat="1" ht="19.5" customHeight="1" x14ac:dyDescent="0.3">
      <c r="B163" s="1081" t="s">
        <v>237</v>
      </c>
      <c r="C163" s="1081"/>
      <c r="D163" s="1081"/>
      <c r="E163" s="1081"/>
      <c r="F163" s="688"/>
      <c r="G163" s="684">
        <f>VLOOKUP($D$2,B364:C367,2,FALSE)</f>
        <v>0</v>
      </c>
      <c r="H163" s="392"/>
      <c r="I163" s="392"/>
      <c r="J163" s="392"/>
      <c r="M163" s="847"/>
    </row>
    <row r="164" spans="2:14" s="685" customFormat="1" ht="33.75" customHeight="1" x14ac:dyDescent="0.3">
      <c r="B164" s="1081" t="s">
        <v>287</v>
      </c>
      <c r="C164" s="1081"/>
      <c r="D164" s="1081"/>
      <c r="E164" s="1081"/>
      <c r="F164" s="688"/>
      <c r="G164" s="684">
        <f>VLOOKUP($D$2,B404:C407,2,FALSE)</f>
        <v>0</v>
      </c>
      <c r="H164" s="392"/>
      <c r="I164" s="392"/>
      <c r="J164" s="392"/>
      <c r="M164" s="847"/>
    </row>
    <row r="165" spans="2:14" s="685" customFormat="1" ht="27" customHeight="1" x14ac:dyDescent="0.3">
      <c r="B165" s="1081" t="s">
        <v>134</v>
      </c>
      <c r="C165" s="1081"/>
      <c r="D165" s="1081"/>
      <c r="E165" s="1081"/>
      <c r="F165" s="688"/>
      <c r="G165" s="684">
        <f>VLOOKUP($D$2,B444:C447,2,FALSE)</f>
        <v>0</v>
      </c>
      <c r="H165" s="392"/>
      <c r="I165" s="392"/>
      <c r="J165" s="392"/>
      <c r="M165" s="847"/>
    </row>
    <row r="166" spans="2:14" ht="13" x14ac:dyDescent="0.3">
      <c r="H166" s="392"/>
      <c r="I166" s="392"/>
      <c r="J166" s="392"/>
    </row>
    <row r="167" spans="2:14" ht="13" x14ac:dyDescent="0.3">
      <c r="B167" s="1086" t="s">
        <v>33</v>
      </c>
      <c r="C167" s="1087"/>
      <c r="D167" s="1087"/>
      <c r="E167" s="1088"/>
      <c r="F167" s="389"/>
      <c r="G167" s="690">
        <f>SUM(G159:G165)</f>
        <v>0</v>
      </c>
      <c r="H167" s="392"/>
      <c r="I167" s="392"/>
      <c r="J167" s="392"/>
    </row>
    <row r="168" spans="2:14" ht="13" x14ac:dyDescent="0.3">
      <c r="H168" s="392"/>
      <c r="I168" s="392"/>
      <c r="J168" s="392"/>
      <c r="M168" s="610"/>
    </row>
    <row r="169" spans="2:14" x14ac:dyDescent="0.25">
      <c r="M169" s="610"/>
    </row>
    <row r="170" spans="2:14" ht="13" x14ac:dyDescent="0.3">
      <c r="B170" s="902" t="s">
        <v>131</v>
      </c>
      <c r="C170" s="903"/>
      <c r="D170" s="903"/>
      <c r="E170" s="903"/>
      <c r="F170" s="904"/>
      <c r="G170" s="904"/>
      <c r="H170" s="904"/>
      <c r="I170" s="904"/>
      <c r="J170" s="904"/>
      <c r="K170" s="904"/>
      <c r="L170" s="904"/>
      <c r="M170" s="905"/>
      <c r="N170" s="904"/>
    </row>
    <row r="171" spans="2:14" x14ac:dyDescent="0.25">
      <c r="M171" s="610"/>
    </row>
    <row r="172" spans="2:14" ht="13" x14ac:dyDescent="0.3">
      <c r="B172" s="18" t="s">
        <v>362</v>
      </c>
      <c r="F172" s="895">
        <v>2017</v>
      </c>
      <c r="M172" s="610"/>
    </row>
    <row r="173" spans="2:14" x14ac:dyDescent="0.25">
      <c r="L173" s="610"/>
      <c r="M173" s="20"/>
    </row>
    <row r="174" spans="2:14" ht="82.5" customHeight="1" x14ac:dyDescent="0.25">
      <c r="B174" s="1060" t="s">
        <v>363</v>
      </c>
      <c r="C174" s="1061"/>
      <c r="D174" s="1061"/>
      <c r="E174" s="1062"/>
      <c r="F174" s="599"/>
      <c r="G174" s="675" t="str">
        <f>"Nog af te bouwen regulatoir saldo einde "&amp;F172-1</f>
        <v>Nog af te bouwen regulatoir saldo einde 2016</v>
      </c>
      <c r="H174" s="675" t="str">
        <f>"Afbouw oudste openstaande regulatoir saldo vanaf boekjaar "&amp;F172-3&amp;" en vroeger, door aanwending van compensatie met regulatoir saldo ontstaan over boekjaar "&amp;F172-2</f>
        <v>Afbouw oudste openstaande regulatoir saldo vanaf boekjaar 2014 en vroeger, door aanwending van compensatie met regulatoir saldo ontstaan over boekjaar 2015</v>
      </c>
      <c r="I174" s="675" t="str">
        <f>"Nog af te bouwen regulatoir saldo na compensatie einde "&amp;F172-1</f>
        <v>Nog af te bouwen regulatoir saldo na compensatie einde 2016</v>
      </c>
      <c r="J174" s="675" t="str">
        <f>"Aanwending van "&amp;IF($B$7="elektriciteit","75%",IF($B$7="gas","40%","FALSE"))&amp;" van het geaccumuleerd regulatoir saldo door te rekenen volgens de tariefmethodologie in het boekjaar "&amp;F172</f>
        <v>Aanwending van 75% van het geaccumuleerd regulatoir saldo door te rekenen volgens de tariefmethodologie in het boekjaar 2017</v>
      </c>
      <c r="K174" s="675" t="str">
        <f>"Nog af te bouwen regulatoir saldo einde "&amp;F172</f>
        <v>Nog af te bouwen regulatoir saldo einde 2017</v>
      </c>
      <c r="L174" s="610"/>
      <c r="M174" s="20"/>
    </row>
    <row r="175" spans="2:14" ht="13" x14ac:dyDescent="0.25">
      <c r="B175" s="1057">
        <v>2015</v>
      </c>
      <c r="C175" s="1058"/>
      <c r="D175" s="1058"/>
      <c r="E175" s="1059"/>
      <c r="F175" s="896"/>
      <c r="G175" s="839">
        <f>G96</f>
        <v>0</v>
      </c>
      <c r="H175" s="897">
        <v>0</v>
      </c>
      <c r="I175" s="839">
        <f>+G175+H175</f>
        <v>0</v>
      </c>
      <c r="J175" s="839">
        <f>-I175*IF($B$7="elektriciteit",0.75,IF($B$7="gas",0.4,"FALSE"))</f>
        <v>0</v>
      </c>
      <c r="K175" s="908">
        <f>+J175+G175</f>
        <v>0</v>
      </c>
      <c r="L175" s="610"/>
      <c r="M175" s="20"/>
    </row>
    <row r="176" spans="2:14" x14ac:dyDescent="0.25">
      <c r="L176" s="610"/>
      <c r="M176" s="20"/>
    </row>
    <row r="177" spans="2:15" ht="13" x14ac:dyDescent="0.3">
      <c r="B177" s="18" t="s">
        <v>362</v>
      </c>
      <c r="F177" s="895">
        <v>2018</v>
      </c>
      <c r="M177" s="610"/>
    </row>
    <row r="178" spans="2:15" x14ac:dyDescent="0.25">
      <c r="M178" s="610"/>
    </row>
    <row r="179" spans="2:15" ht="69.75" customHeight="1" x14ac:dyDescent="0.25">
      <c r="B179" s="1060" t="s">
        <v>363</v>
      </c>
      <c r="C179" s="1061"/>
      <c r="D179" s="1061"/>
      <c r="E179" s="1062"/>
      <c r="F179" s="599"/>
      <c r="G179" s="675" t="str">
        <f>"Nog af te bouwen regulatoir saldo einde "&amp;F177-1</f>
        <v>Nog af te bouwen regulatoir saldo einde 2017</v>
      </c>
      <c r="H179" s="675" t="str">
        <f>"Afbouw oudste openstaande regulatoir saldo vanaf boekjaar "&amp;F177-3&amp;" en vroeger, door aanwending van compensatie met regulatoir saldo ontstaan over boekjaar "&amp;F177-2</f>
        <v>Afbouw oudste openstaande regulatoir saldo vanaf boekjaar 2015 en vroeger, door aanwending van compensatie met regulatoir saldo ontstaan over boekjaar 2016</v>
      </c>
      <c r="I179" s="675" t="str">
        <f>"Nog af te bouwen regulatoir saldo na compensatie einde "&amp;F177-1</f>
        <v>Nog af te bouwen regulatoir saldo na compensatie einde 2017</v>
      </c>
      <c r="J179" s="675" t="str">
        <f>"Aanwending van "&amp;IF($B$7="elektriciteit","75%",IF($B$7="gas","40%","FALSE"))&amp;" van het geaccumuleerd regulatoir saldo door te rekenen volgens de tariefmethodologie in het boekjaar "&amp;F177</f>
        <v>Aanwending van 75% van het geaccumuleerd regulatoir saldo door te rekenen volgens de tariefmethodologie in het boekjaar 2018</v>
      </c>
      <c r="K179" s="675" t="str">
        <f>"Aanwending van "&amp;IF($B$7="elektriciteit","75%",IF($B$7="gas","40%","FALSE"))&amp;" van het geaccumuleerd regulatoir saldo door te rekenen volgens de tariefmethodologie in het boekjaar "&amp;F177</f>
        <v>Aanwending van 75% van het geaccumuleerd regulatoir saldo door te rekenen volgens de tariefmethodologie in het boekjaar 2018</v>
      </c>
      <c r="L179" s="675" t="str">
        <f>"Totale afbouw over "&amp;F177</f>
        <v>Totale afbouw over 2018</v>
      </c>
      <c r="M179" s="20"/>
      <c r="N179" s="675" t="str">
        <f>"Nog af te bouwen regulatoir saldo einde "&amp;F177</f>
        <v>Nog af te bouwen regulatoir saldo einde 2018</v>
      </c>
      <c r="O179" s="610"/>
    </row>
    <row r="180" spans="2:15" ht="13" x14ac:dyDescent="0.25">
      <c r="B180" s="1057">
        <v>2015</v>
      </c>
      <c r="C180" s="1058"/>
      <c r="D180" s="1058"/>
      <c r="E180" s="1059"/>
      <c r="F180" s="896"/>
      <c r="G180" s="839">
        <f>K175</f>
        <v>0</v>
      </c>
      <c r="H180" s="897">
        <f>IF(SIGN(G181*K175)&lt;0,IF(G180&lt;&gt;0,-SIGN(G180)*MIN(ABS(G181),ABS(G180)),0),0)</f>
        <v>0</v>
      </c>
      <c r="I180" s="839">
        <f>+G180+H180</f>
        <v>0</v>
      </c>
      <c r="J180" s="698"/>
      <c r="K180" s="897">
        <f>-MIN(ABS(I180),ABS(J182))*SIGN(I180)</f>
        <v>0</v>
      </c>
      <c r="L180" s="898">
        <f>+K180+H180</f>
        <v>0</v>
      </c>
      <c r="M180" s="20"/>
      <c r="N180" s="839">
        <f>+I180+K180</f>
        <v>0</v>
      </c>
      <c r="O180" s="610"/>
    </row>
    <row r="181" spans="2:15" ht="13" x14ac:dyDescent="0.25">
      <c r="B181" s="1057">
        <v>2016</v>
      </c>
      <c r="C181" s="1058"/>
      <c r="D181" s="1058"/>
      <c r="E181" s="1059"/>
      <c r="F181" s="896"/>
      <c r="G181" s="839">
        <f>H97</f>
        <v>0</v>
      </c>
      <c r="H181" s="898">
        <f>IF(SIGN(G181*K175)&lt;0,-H180,0)</f>
        <v>0</v>
      </c>
      <c r="I181" s="839">
        <f>+G181+H181</f>
        <v>0</v>
      </c>
      <c r="J181" s="698"/>
      <c r="K181" s="897">
        <f>-MIN(ABS(I181),ABS(J182-K180))*SIGN(I181)</f>
        <v>0</v>
      </c>
      <c r="L181" s="898">
        <f>+K181+H181</f>
        <v>0</v>
      </c>
      <c r="M181" s="20"/>
      <c r="N181" s="839">
        <f>+I181+K181</f>
        <v>0</v>
      </c>
      <c r="O181" s="610"/>
    </row>
    <row r="182" spans="2:15" s="18" customFormat="1" ht="13" x14ac:dyDescent="0.3">
      <c r="G182" s="899">
        <f>SUM(G180:G181)</f>
        <v>0</v>
      </c>
      <c r="H182" s="899">
        <f>SUM(H180:H181)</f>
        <v>0</v>
      </c>
      <c r="I182" s="899">
        <f>SUM(I180:I181)</f>
        <v>0</v>
      </c>
      <c r="J182" s="899">
        <f>-I182*IF($B$7="elektriciteit",0.75,IF($B$7="gas",0.4,"FALSE"))</f>
        <v>0</v>
      </c>
      <c r="K182" s="900">
        <f>SUM(K180:K181)</f>
        <v>0</v>
      </c>
      <c r="L182" s="901"/>
      <c r="N182" s="899">
        <f>SUM(N180:N181)</f>
        <v>0</v>
      </c>
    </row>
    <row r="183" spans="2:15" x14ac:dyDescent="0.25">
      <c r="M183" s="610"/>
    </row>
    <row r="184" spans="2:15" ht="13" x14ac:dyDescent="0.3">
      <c r="B184" s="18" t="s">
        <v>362</v>
      </c>
      <c r="F184" s="895">
        <v>2019</v>
      </c>
      <c r="M184" s="20"/>
    </row>
    <row r="185" spans="2:15" x14ac:dyDescent="0.25">
      <c r="M185" s="20"/>
    </row>
    <row r="186" spans="2:15" ht="75.75" customHeight="1" x14ac:dyDescent="0.25">
      <c r="B186" s="1060" t="s">
        <v>363</v>
      </c>
      <c r="C186" s="1061"/>
      <c r="D186" s="1061"/>
      <c r="E186" s="1062"/>
      <c r="F186" s="599"/>
      <c r="G186" s="675" t="str">
        <f>"Nog af te bouwen regulatoir saldo einde "&amp;F184-1</f>
        <v>Nog af te bouwen regulatoir saldo einde 2018</v>
      </c>
      <c r="H186" s="675" t="str">
        <f>"Afbouw oudste openstaande regulatoir saldo vanaf boekjaar "&amp;F184-3&amp;" en vroeger, door aanwending van compensatie met regulatoir saldo ontstaan over boekjaar "&amp;F184-2</f>
        <v>Afbouw oudste openstaande regulatoir saldo vanaf boekjaar 2016 en vroeger, door aanwending van compensatie met regulatoir saldo ontstaan over boekjaar 2017</v>
      </c>
      <c r="I186" s="675" t="str">
        <f>"Nog af te bouwen regulatoir saldo na compensatie einde "&amp;F184-1</f>
        <v>Nog af te bouwen regulatoir saldo na compensatie einde 2018</v>
      </c>
      <c r="J186" s="675" t="str">
        <f>"Aanwending van "&amp;IF($B$7="elektriciteit","75%",IF($B$7="gas","40%","FALSE"))&amp;" van het geaccumuleerd regulatoir saldo door te rekenen volgens de tariefmethodologie in het boekjaar "&amp;F184</f>
        <v>Aanwending van 75% van het geaccumuleerd regulatoir saldo door te rekenen volgens de tariefmethodologie in het boekjaar 2019</v>
      </c>
      <c r="K186" s="675" t="str">
        <f>"Aanwending van "&amp;IF($B$7="elektriciteit","75%",IF($B$7="gas","40%","FALSE"))&amp;" van het geaccumuleerd regulatoir saldo door te rekenen volgens de tariefmethodologie in het boekjaar "&amp;F184</f>
        <v>Aanwending van 75% van het geaccumuleerd regulatoir saldo door te rekenen volgens de tariefmethodologie in het boekjaar 2019</v>
      </c>
      <c r="L186" s="675" t="str">
        <f>"Totale afbouw over "&amp;F184</f>
        <v>Totale afbouw over 2019</v>
      </c>
      <c r="M186" s="20"/>
      <c r="N186" s="675" t="str">
        <f>"Nog af te bouwen regulatoir saldo einde "&amp;F184</f>
        <v>Nog af te bouwen regulatoir saldo einde 2019</v>
      </c>
      <c r="O186" s="610"/>
    </row>
    <row r="187" spans="2:15" ht="13" x14ac:dyDescent="0.25">
      <c r="B187" s="1057">
        <v>2015</v>
      </c>
      <c r="C187" s="1058"/>
      <c r="D187" s="1058"/>
      <c r="E187" s="1059"/>
      <c r="F187" s="896"/>
      <c r="G187" s="839">
        <f>+N180</f>
        <v>0</v>
      </c>
      <c r="H187" s="898">
        <f>IF(SIGN(G189*N182)&lt;0,IF(G187&lt;&gt;0,-SIGN(G187)*MIN(ABS(G189),ABS(G187)),0),0)</f>
        <v>0</v>
      </c>
      <c r="I187" s="839">
        <f>+G187+H187</f>
        <v>0</v>
      </c>
      <c r="J187" s="698"/>
      <c r="K187" s="897">
        <f>-MIN(ABS(I187),ABS(J190))*SIGN(I187)</f>
        <v>0</v>
      </c>
      <c r="L187" s="898">
        <f>+K187+H187</f>
        <v>0</v>
      </c>
      <c r="M187" s="20"/>
      <c r="N187" s="839">
        <f>+I187+K187</f>
        <v>0</v>
      </c>
      <c r="O187" s="610"/>
    </row>
    <row r="188" spans="2:15" ht="13" x14ac:dyDescent="0.25">
      <c r="B188" s="1057">
        <v>2016</v>
      </c>
      <c r="C188" s="1058"/>
      <c r="D188" s="1058">
        <v>2016</v>
      </c>
      <c r="E188" s="1059"/>
      <c r="F188" s="896"/>
      <c r="G188" s="839">
        <f>+N181</f>
        <v>0</v>
      </c>
      <c r="H188" s="898">
        <f>IF(SIGN(G189*N182)&lt;0,IF(G188&lt;&gt;0,-SIGN(G188)*MIN(ABS(G189-H187),ABS(G188)),0),0)</f>
        <v>0</v>
      </c>
      <c r="I188" s="839">
        <f>+G188+H188</f>
        <v>0</v>
      </c>
      <c r="J188" s="698"/>
      <c r="K188" s="897">
        <f>-MIN(ABS(I188),ABS(J190-K187))*SIGN(I188)</f>
        <v>0</v>
      </c>
      <c r="L188" s="898">
        <f>+K188+H188</f>
        <v>0</v>
      </c>
      <c r="M188" s="20"/>
      <c r="N188" s="839">
        <f>+I188+K188</f>
        <v>0</v>
      </c>
      <c r="O188" s="610"/>
    </row>
    <row r="189" spans="2:15" ht="13" x14ac:dyDescent="0.25">
      <c r="B189" s="1057">
        <v>2017</v>
      </c>
      <c r="C189" s="1058"/>
      <c r="D189" s="1058"/>
      <c r="E189" s="1059"/>
      <c r="F189" s="896"/>
      <c r="G189" s="839">
        <f>I98</f>
        <v>0</v>
      </c>
      <c r="H189" s="898">
        <f>IF(SIGN(G189*N182)&lt;0,-SUM(H187:H188),0)</f>
        <v>0</v>
      </c>
      <c r="I189" s="839">
        <f>+G189+H189</f>
        <v>0</v>
      </c>
      <c r="J189" s="698"/>
      <c r="K189" s="897">
        <f>-MIN(ABS(I189),ABS(J190-K187-K188))*SIGN(I189)</f>
        <v>0</v>
      </c>
      <c r="L189" s="898">
        <f>+K189+H189</f>
        <v>0</v>
      </c>
      <c r="M189" s="20"/>
      <c r="N189" s="839">
        <f>+I189+K189</f>
        <v>0</v>
      </c>
      <c r="O189" s="610"/>
    </row>
    <row r="190" spans="2:15" s="18" customFormat="1" ht="13" x14ac:dyDescent="0.3">
      <c r="G190" s="899">
        <f>SUM(G187:G189)</f>
        <v>0</v>
      </c>
      <c r="H190" s="899">
        <f>SUM(H187:H189)</f>
        <v>0</v>
      </c>
      <c r="I190" s="899">
        <f>SUM(I187:I189)</f>
        <v>0</v>
      </c>
      <c r="J190" s="899">
        <f>-I190*IF($B$7="elektriciteit",0.75,IF($B$7="gas",0.4,"FALSE"))</f>
        <v>0</v>
      </c>
      <c r="K190" s="900">
        <f>SUM(K187:K189)</f>
        <v>0</v>
      </c>
      <c r="L190" s="901"/>
      <c r="N190" s="899">
        <f>SUM(N187:N189)</f>
        <v>0</v>
      </c>
    </row>
    <row r="191" spans="2:15" x14ac:dyDescent="0.25">
      <c r="M191" s="610"/>
    </row>
    <row r="192" spans="2:15" ht="13" x14ac:dyDescent="0.3">
      <c r="B192" s="18" t="s">
        <v>362</v>
      </c>
      <c r="F192" s="895">
        <v>2020</v>
      </c>
      <c r="M192" s="20"/>
    </row>
    <row r="193" spans="2:15" x14ac:dyDescent="0.25">
      <c r="M193" s="20"/>
    </row>
    <row r="194" spans="2:15" ht="78" customHeight="1" x14ac:dyDescent="0.25">
      <c r="B194" s="1060" t="s">
        <v>363</v>
      </c>
      <c r="C194" s="1061"/>
      <c r="D194" s="1061"/>
      <c r="E194" s="1062"/>
      <c r="F194" s="599"/>
      <c r="G194" s="675" t="str">
        <f>"Nog af te bouwen regulatoir saldo einde "&amp;F192-1</f>
        <v>Nog af te bouwen regulatoir saldo einde 2019</v>
      </c>
      <c r="H194" s="675" t="str">
        <f>"Afbouw oudste openstaande regulatoir saldo vanaf boekjaar "&amp;F192-3&amp;" en vroeger, door aanwending van compensatie met regulatoir saldo ontstaan over boekjaar "&amp;F192-2</f>
        <v>Afbouw oudste openstaande regulatoir saldo vanaf boekjaar 2017 en vroeger, door aanwending van compensatie met regulatoir saldo ontstaan over boekjaar 2018</v>
      </c>
      <c r="I194" s="675" t="str">
        <f>"Nog af te bouwen regulatoir saldo na compensatie einde "&amp;F192-1</f>
        <v>Nog af te bouwen regulatoir saldo na compensatie einde 2019</v>
      </c>
      <c r="J194" s="675" t="str">
        <f>"Aanwending van "&amp;IF($B$7="elektriciteit","75%",IF($B$7="gas","40%","FALSE"))&amp;" van het geaccumuleerd regulatoir saldo door te rekenen volgens de tariefmethodologie in het boekjaar "&amp;F192</f>
        <v>Aanwending van 75% van het geaccumuleerd regulatoir saldo door te rekenen volgens de tariefmethodologie in het boekjaar 2020</v>
      </c>
      <c r="K194" s="675" t="str">
        <f>"Aanwending van "&amp;IF($B$7="elektriciteit","75%",IF($B$7="gas","40%","FALSE"))&amp;" van het geaccumuleerd regulatoir saldo door te rekenen volgens de tariefmethodologie in het boekjaar "&amp;F192</f>
        <v>Aanwending van 75% van het geaccumuleerd regulatoir saldo door te rekenen volgens de tariefmethodologie in het boekjaar 2020</v>
      </c>
      <c r="L194" s="675" t="str">
        <f>"Totale afbouw over "&amp;F192</f>
        <v>Totale afbouw over 2020</v>
      </c>
      <c r="M194" s="20"/>
      <c r="N194" s="675" t="str">
        <f>"Nog af te bouwen regulatoir saldo einde "&amp;F192</f>
        <v>Nog af te bouwen regulatoir saldo einde 2020</v>
      </c>
      <c r="O194" s="610"/>
    </row>
    <row r="195" spans="2:15" ht="13" x14ac:dyDescent="0.25">
      <c r="B195" s="1057">
        <v>2015</v>
      </c>
      <c r="C195" s="1058"/>
      <c r="D195" s="1058"/>
      <c r="E195" s="1059"/>
      <c r="F195" s="896"/>
      <c r="G195" s="839">
        <f>+N187</f>
        <v>0</v>
      </c>
      <c r="H195" s="898">
        <f>IF(SIGN(G198*N190)&lt;0,IF(G195&lt;&gt;0,-SIGN(G195)*MIN(ABS(G198),ABS(G195)),0),0)</f>
        <v>0</v>
      </c>
      <c r="I195" s="839">
        <f>+G195+H195</f>
        <v>0</v>
      </c>
      <c r="J195" s="698"/>
      <c r="K195" s="897">
        <f>-MIN(ABS(I195),ABS(J199))*SIGN(I195)</f>
        <v>0</v>
      </c>
      <c r="L195" s="898">
        <f>+K195+H195</f>
        <v>0</v>
      </c>
      <c r="M195" s="20"/>
      <c r="N195" s="839">
        <f>+I195+K195</f>
        <v>0</v>
      </c>
      <c r="O195" s="610"/>
    </row>
    <row r="196" spans="2:15" ht="13" x14ac:dyDescent="0.25">
      <c r="B196" s="1057">
        <v>2016</v>
      </c>
      <c r="C196" s="1058"/>
      <c r="D196" s="1058"/>
      <c r="E196" s="1059"/>
      <c r="F196" s="896"/>
      <c r="G196" s="839">
        <f>+N188</f>
        <v>0</v>
      </c>
      <c r="H196" s="898">
        <f>IF(SIGN(G198*N190)&lt;0,IF(G196&lt;&gt;0,-SIGN(G196)*MIN(ABS(G198-H195),ABS(G196)),0),0)</f>
        <v>0</v>
      </c>
      <c r="I196" s="839">
        <f>+G196+H196</f>
        <v>0</v>
      </c>
      <c r="J196" s="698"/>
      <c r="K196" s="897">
        <f>-MIN(ABS(I196),ABS(J199-K195))*SIGN(I196)</f>
        <v>0</v>
      </c>
      <c r="L196" s="898">
        <f>+K196+H196</f>
        <v>0</v>
      </c>
      <c r="M196" s="20"/>
      <c r="N196" s="839">
        <f>+I196+K196</f>
        <v>0</v>
      </c>
      <c r="O196" s="610"/>
    </row>
    <row r="197" spans="2:15" ht="13" x14ac:dyDescent="0.25">
      <c r="B197" s="1057">
        <v>2017</v>
      </c>
      <c r="C197" s="1058"/>
      <c r="D197" s="1058">
        <v>2016</v>
      </c>
      <c r="E197" s="1059"/>
      <c r="F197" s="896"/>
      <c r="G197" s="839">
        <f>+N189</f>
        <v>0</v>
      </c>
      <c r="H197" s="898">
        <f>IF(SIGN(G198*N190)&lt;0,IF(G197&lt;&gt;0,-SIGN(G197)*MIN(ABS(G198-H195-H196),ABS(G197)),0),0)</f>
        <v>0</v>
      </c>
      <c r="I197" s="839">
        <f>+G197+H197</f>
        <v>0</v>
      </c>
      <c r="J197" s="698"/>
      <c r="K197" s="897">
        <f>-MIN(ABS(I197),ABS(J199-K195-K196))*SIGN(I197)</f>
        <v>0</v>
      </c>
      <c r="L197" s="898">
        <f>+K197+H197</f>
        <v>0</v>
      </c>
      <c r="M197" s="20"/>
      <c r="N197" s="839">
        <f>+I197+K197</f>
        <v>0</v>
      </c>
      <c r="O197" s="610"/>
    </row>
    <row r="198" spans="2:15" ht="13" x14ac:dyDescent="0.25">
      <c r="B198" s="1057">
        <v>2018</v>
      </c>
      <c r="C198" s="1058"/>
      <c r="D198" s="1058"/>
      <c r="E198" s="1059"/>
      <c r="F198" s="896"/>
      <c r="G198" s="839">
        <f>J99</f>
        <v>0</v>
      </c>
      <c r="H198" s="898">
        <f>IF(SIGN(G198*N190)&lt;0,-SUM(H195:H197),0)</f>
        <v>0</v>
      </c>
      <c r="I198" s="839">
        <f>+G198+H198</f>
        <v>0</v>
      </c>
      <c r="J198" s="698"/>
      <c r="K198" s="897">
        <f>-MIN(ABS(I198),ABS(J199-K195-K196-K197))*SIGN(I198)</f>
        <v>0</v>
      </c>
      <c r="L198" s="898">
        <f>+K198+H198</f>
        <v>0</v>
      </c>
      <c r="M198" s="20"/>
      <c r="N198" s="839">
        <f>+I198+K198</f>
        <v>0</v>
      </c>
      <c r="O198" s="610"/>
    </row>
    <row r="199" spans="2:15" s="18" customFormat="1" ht="13" x14ac:dyDescent="0.3">
      <c r="G199" s="899">
        <f>SUM(G195:G198)</f>
        <v>0</v>
      </c>
      <c r="H199" s="899">
        <f>SUM(H195:H198)</f>
        <v>0</v>
      </c>
      <c r="I199" s="899">
        <f>SUM(I195:I198)</f>
        <v>0</v>
      </c>
      <c r="J199" s="899">
        <f>-I199*IF($B$7="elektriciteit",0.75,IF($B$7="gas",0.4,"FALSE"))</f>
        <v>0</v>
      </c>
      <c r="K199" s="900">
        <f>SUM(K195:K198)</f>
        <v>0</v>
      </c>
      <c r="L199" s="900"/>
      <c r="N199" s="899">
        <f>SUM(N195:N198)</f>
        <v>0</v>
      </c>
    </row>
    <row r="202" spans="2:15" ht="13" x14ac:dyDescent="0.3">
      <c r="B202" s="18" t="s">
        <v>364</v>
      </c>
      <c r="C202" s="381"/>
      <c r="D202" s="381"/>
      <c r="E202" s="381"/>
    </row>
    <row r="203" spans="2:15" ht="13" x14ac:dyDescent="0.3">
      <c r="B203" s="18"/>
      <c r="C203" s="381"/>
      <c r="D203" s="381"/>
      <c r="E203" s="381"/>
    </row>
    <row r="204" spans="2:15" ht="13" x14ac:dyDescent="0.3">
      <c r="B204" s="864">
        <f>F172</f>
        <v>2017</v>
      </c>
      <c r="C204" s="906">
        <f>J175</f>
        <v>0</v>
      </c>
      <c r="D204" s="381"/>
      <c r="E204" s="381"/>
    </row>
    <row r="205" spans="2:15" ht="13" x14ac:dyDescent="0.3">
      <c r="B205" s="864">
        <f>F177</f>
        <v>2018</v>
      </c>
      <c r="C205" s="906">
        <f>K182</f>
        <v>0</v>
      </c>
      <c r="D205" s="381"/>
      <c r="E205" s="381"/>
    </row>
    <row r="206" spans="2:15" ht="13" x14ac:dyDescent="0.3">
      <c r="B206" s="864">
        <f>F184</f>
        <v>2019</v>
      </c>
      <c r="C206" s="906">
        <f>K190</f>
        <v>0</v>
      </c>
      <c r="D206" s="381"/>
      <c r="E206" s="381"/>
    </row>
    <row r="207" spans="2:15" ht="13" x14ac:dyDescent="0.3">
      <c r="B207" s="864">
        <f>F192</f>
        <v>2020</v>
      </c>
      <c r="C207" s="906">
        <f>K199</f>
        <v>0</v>
      </c>
      <c r="D207" s="381"/>
      <c r="E207" s="381"/>
    </row>
    <row r="208" spans="2:15" x14ac:dyDescent="0.25">
      <c r="M208" s="610"/>
    </row>
    <row r="209" spans="2:15" x14ac:dyDescent="0.25">
      <c r="M209" s="610"/>
    </row>
    <row r="210" spans="2:15" ht="13" x14ac:dyDescent="0.3">
      <c r="B210" s="902" t="s">
        <v>132</v>
      </c>
      <c r="C210" s="903"/>
      <c r="D210" s="903"/>
      <c r="E210" s="903"/>
      <c r="F210" s="904"/>
      <c r="G210" s="904"/>
      <c r="H210" s="904"/>
      <c r="I210" s="904"/>
      <c r="J210" s="904"/>
      <c r="K210" s="904"/>
      <c r="L210" s="904"/>
      <c r="M210" s="905"/>
      <c r="N210" s="904"/>
    </row>
    <row r="211" spans="2:15" x14ac:dyDescent="0.25">
      <c r="M211" s="610"/>
    </row>
    <row r="212" spans="2:15" ht="13" x14ac:dyDescent="0.3">
      <c r="B212" s="18" t="s">
        <v>362</v>
      </c>
      <c r="F212" s="895">
        <v>2017</v>
      </c>
      <c r="M212" s="610"/>
    </row>
    <row r="213" spans="2:15" x14ac:dyDescent="0.25">
      <c r="L213" s="610"/>
      <c r="M213" s="20"/>
    </row>
    <row r="214" spans="2:15" ht="82.5" customHeight="1" x14ac:dyDescent="0.25">
      <c r="B214" s="1060" t="s">
        <v>363</v>
      </c>
      <c r="C214" s="1061"/>
      <c r="D214" s="1061"/>
      <c r="E214" s="1062"/>
      <c r="F214" s="599"/>
      <c r="G214" s="675" t="str">
        <f>"Nog af te bouwen regulatoir saldo einde "&amp;F212-1</f>
        <v>Nog af te bouwen regulatoir saldo einde 2016</v>
      </c>
      <c r="H214" s="675" t="str">
        <f>"Afbouw oudste openstaande regulatoir saldo vanaf boekjaar "&amp;F212-3&amp;" en vroeger, door aanwending van compensatie met regulatoir saldo ontstaan over boekjaar "&amp;F212-2</f>
        <v>Afbouw oudste openstaande regulatoir saldo vanaf boekjaar 2014 en vroeger, door aanwending van compensatie met regulatoir saldo ontstaan over boekjaar 2015</v>
      </c>
      <c r="I214" s="675" t="str">
        <f>"Nog af te bouwen regulatoir saldo na compensatie einde "&amp;F212-1</f>
        <v>Nog af te bouwen regulatoir saldo na compensatie einde 2016</v>
      </c>
      <c r="J214" s="675" t="str">
        <f>"Aanwending van "&amp;IF($B$7="elektriciteit","75%",IF($B$7="gas","40%","FALSE"))&amp;" van het geaccumuleerd regulatoir saldo door te rekenen volgens de tariefmethodologie in het boekjaar "&amp;F212</f>
        <v>Aanwending van 75% van het geaccumuleerd regulatoir saldo door te rekenen volgens de tariefmethodologie in het boekjaar 2017</v>
      </c>
      <c r="K214" s="675" t="str">
        <f>"Nog af te bouwen regulatoir saldo einde "&amp;F212</f>
        <v>Nog af te bouwen regulatoir saldo einde 2017</v>
      </c>
      <c r="L214" s="610"/>
      <c r="M214" s="20"/>
    </row>
    <row r="215" spans="2:15" ht="13" x14ac:dyDescent="0.25">
      <c r="B215" s="1057">
        <v>2015</v>
      </c>
      <c r="C215" s="1058"/>
      <c r="D215" s="1058"/>
      <c r="E215" s="1059"/>
      <c r="F215" s="896"/>
      <c r="G215" s="839">
        <f>G103</f>
        <v>0</v>
      </c>
      <c r="H215" s="897">
        <v>0</v>
      </c>
      <c r="I215" s="839">
        <f>+G215+H215</f>
        <v>0</v>
      </c>
      <c r="J215" s="839">
        <f>-I215*IF($B$7="elektriciteit",0.75,IF($B$7="gas",0.4,"FALSE"))</f>
        <v>0</v>
      </c>
      <c r="K215" s="908">
        <f>+J215+G215</f>
        <v>0</v>
      </c>
      <c r="L215" s="610"/>
      <c r="M215" s="20"/>
    </row>
    <row r="216" spans="2:15" x14ac:dyDescent="0.25">
      <c r="L216" s="610"/>
      <c r="M216" s="20"/>
    </row>
    <row r="217" spans="2:15" ht="13" x14ac:dyDescent="0.3">
      <c r="B217" s="18" t="s">
        <v>362</v>
      </c>
      <c r="F217" s="895">
        <v>2018</v>
      </c>
      <c r="M217" s="610"/>
    </row>
    <row r="218" spans="2:15" x14ac:dyDescent="0.25">
      <c r="M218" s="610"/>
    </row>
    <row r="219" spans="2:15" ht="69.75" customHeight="1" x14ac:dyDescent="0.25">
      <c r="B219" s="1060" t="s">
        <v>363</v>
      </c>
      <c r="C219" s="1061"/>
      <c r="D219" s="1061"/>
      <c r="E219" s="1062"/>
      <c r="F219" s="599"/>
      <c r="G219" s="675" t="str">
        <f>"Nog af te bouwen regulatoir saldo einde "&amp;F217-1</f>
        <v>Nog af te bouwen regulatoir saldo einde 2017</v>
      </c>
      <c r="H219" s="675" t="str">
        <f>"Afbouw oudste openstaande regulatoir saldo vanaf boekjaar "&amp;F217-3&amp;" en vroeger, door aanwending van compensatie met regulatoir saldo ontstaan over boekjaar "&amp;F217-2</f>
        <v>Afbouw oudste openstaande regulatoir saldo vanaf boekjaar 2015 en vroeger, door aanwending van compensatie met regulatoir saldo ontstaan over boekjaar 2016</v>
      </c>
      <c r="I219" s="675" t="str">
        <f>"Nog af te bouwen regulatoir saldo na compensatie einde "&amp;F217-1</f>
        <v>Nog af te bouwen regulatoir saldo na compensatie einde 2017</v>
      </c>
      <c r="J219" s="675" t="str">
        <f>"Aanwending van "&amp;IF($B$7="elektriciteit","75%",IF($B$7="gas","40%","FALSE"))&amp;" van het geaccumuleerd regulatoir saldo door te rekenen volgens de tariefmethodologie in het boekjaar "&amp;F217</f>
        <v>Aanwending van 75% van het geaccumuleerd regulatoir saldo door te rekenen volgens de tariefmethodologie in het boekjaar 2018</v>
      </c>
      <c r="K219" s="675" t="str">
        <f>"Aanwending van "&amp;IF($B$7="elektriciteit","75%",IF($B$7="gas","40%","FALSE"))&amp;" van het geaccumuleerd regulatoir saldo door te rekenen volgens de tariefmethodologie in het boekjaar "&amp;F217</f>
        <v>Aanwending van 75% van het geaccumuleerd regulatoir saldo door te rekenen volgens de tariefmethodologie in het boekjaar 2018</v>
      </c>
      <c r="L219" s="675" t="str">
        <f>"Totale afbouw over "&amp;F217</f>
        <v>Totale afbouw over 2018</v>
      </c>
      <c r="M219" s="20"/>
      <c r="N219" s="675" t="str">
        <f>"Nog af te bouwen regulatoir saldo einde "&amp;F217</f>
        <v>Nog af te bouwen regulatoir saldo einde 2018</v>
      </c>
      <c r="O219" s="610"/>
    </row>
    <row r="220" spans="2:15" ht="13" x14ac:dyDescent="0.25">
      <c r="B220" s="1057">
        <v>2015</v>
      </c>
      <c r="C220" s="1058"/>
      <c r="D220" s="1058"/>
      <c r="E220" s="1059"/>
      <c r="F220" s="896"/>
      <c r="G220" s="839">
        <f>K215</f>
        <v>0</v>
      </c>
      <c r="H220" s="897">
        <f>IF(SIGN(G221*K215)&lt;0,IF(G220&lt;&gt;0,-SIGN(G220)*MIN(ABS(G221),ABS(G220)),0),0)</f>
        <v>0</v>
      </c>
      <c r="I220" s="839">
        <f>+G220+H220</f>
        <v>0</v>
      </c>
      <c r="J220" s="698"/>
      <c r="K220" s="897">
        <f>-MIN(ABS(I220),ABS(J222))*SIGN(I220)</f>
        <v>0</v>
      </c>
      <c r="L220" s="898">
        <f>+K220+H220</f>
        <v>0</v>
      </c>
      <c r="M220" s="20"/>
      <c r="N220" s="839">
        <f>+I220+K220</f>
        <v>0</v>
      </c>
      <c r="O220" s="610"/>
    </row>
    <row r="221" spans="2:15" ht="13" x14ac:dyDescent="0.25">
      <c r="B221" s="1057">
        <v>2016</v>
      </c>
      <c r="C221" s="1058"/>
      <c r="D221" s="1058"/>
      <c r="E221" s="1059"/>
      <c r="F221" s="896"/>
      <c r="G221" s="839">
        <f>H104</f>
        <v>0</v>
      </c>
      <c r="H221" s="898">
        <f>IF(SIGN(G221*K215)&lt;0,-H220,0)</f>
        <v>0</v>
      </c>
      <c r="I221" s="839">
        <f>+G221+H221</f>
        <v>0</v>
      </c>
      <c r="J221" s="698"/>
      <c r="K221" s="897">
        <f>-MIN(ABS(I221),ABS(J222-K220))*SIGN(I221)</f>
        <v>0</v>
      </c>
      <c r="L221" s="898">
        <f>+K221+H221</f>
        <v>0</v>
      </c>
      <c r="M221" s="20"/>
      <c r="N221" s="839">
        <f>+I221+K221</f>
        <v>0</v>
      </c>
      <c r="O221" s="610"/>
    </row>
    <row r="222" spans="2:15" s="18" customFormat="1" ht="13" x14ac:dyDescent="0.3">
      <c r="G222" s="899">
        <f>SUM(G220:G221)</f>
        <v>0</v>
      </c>
      <c r="H222" s="899">
        <f>SUM(H220:H221)</f>
        <v>0</v>
      </c>
      <c r="I222" s="899">
        <f>SUM(I220:I221)</f>
        <v>0</v>
      </c>
      <c r="J222" s="899">
        <f>-I222*IF($B$7="elektriciteit",0.75,IF($B$7="gas",0.4,"FALSE"))</f>
        <v>0</v>
      </c>
      <c r="K222" s="900">
        <f>SUM(K220:K221)</f>
        <v>0</v>
      </c>
      <c r="L222" s="901"/>
      <c r="N222" s="899">
        <f>SUM(N220:N221)</f>
        <v>0</v>
      </c>
    </row>
    <row r="223" spans="2:15" x14ac:dyDescent="0.25">
      <c r="M223" s="610"/>
    </row>
    <row r="224" spans="2:15" ht="13" x14ac:dyDescent="0.3">
      <c r="B224" s="18" t="s">
        <v>362</v>
      </c>
      <c r="F224" s="895">
        <v>2019</v>
      </c>
      <c r="M224" s="20"/>
    </row>
    <row r="225" spans="2:15" x14ac:dyDescent="0.25">
      <c r="M225" s="20"/>
    </row>
    <row r="226" spans="2:15" ht="75.75" customHeight="1" x14ac:dyDescent="0.25">
      <c r="B226" s="1060" t="s">
        <v>363</v>
      </c>
      <c r="C226" s="1061"/>
      <c r="D226" s="1061"/>
      <c r="E226" s="1062"/>
      <c r="F226" s="599"/>
      <c r="G226" s="675" t="str">
        <f>"Nog af te bouwen regulatoir saldo einde "&amp;F224-1</f>
        <v>Nog af te bouwen regulatoir saldo einde 2018</v>
      </c>
      <c r="H226" s="675" t="str">
        <f>"Afbouw oudste openstaande regulatoir saldo vanaf boekjaar "&amp;F224-3&amp;" en vroeger, door aanwending van compensatie met regulatoir saldo ontstaan over boekjaar "&amp;F224-2</f>
        <v>Afbouw oudste openstaande regulatoir saldo vanaf boekjaar 2016 en vroeger, door aanwending van compensatie met regulatoir saldo ontstaan over boekjaar 2017</v>
      </c>
      <c r="I226" s="675" t="str">
        <f>"Nog af te bouwen regulatoir saldo na compensatie einde "&amp;F224-1</f>
        <v>Nog af te bouwen regulatoir saldo na compensatie einde 2018</v>
      </c>
      <c r="J226" s="675" t="str">
        <f>"Aanwending van "&amp;IF($B$7="elektriciteit","75%",IF($B$7="gas","40%","FALSE"))&amp;" van het geaccumuleerd regulatoir saldo door te rekenen volgens de tariefmethodologie in het boekjaar "&amp;F224</f>
        <v>Aanwending van 75% van het geaccumuleerd regulatoir saldo door te rekenen volgens de tariefmethodologie in het boekjaar 2019</v>
      </c>
      <c r="K226" s="675" t="str">
        <f>"Aanwending van "&amp;IF($B$7="elektriciteit","75%",IF($B$7="gas","40%","FALSE"))&amp;" van het geaccumuleerd regulatoir saldo door te rekenen volgens de tariefmethodologie in het boekjaar "&amp;F224</f>
        <v>Aanwending van 75% van het geaccumuleerd regulatoir saldo door te rekenen volgens de tariefmethodologie in het boekjaar 2019</v>
      </c>
      <c r="L226" s="675" t="str">
        <f>"Totale afbouw over "&amp;F224</f>
        <v>Totale afbouw over 2019</v>
      </c>
      <c r="M226" s="20"/>
      <c r="N226" s="675" t="str">
        <f>"Nog af te bouwen regulatoir saldo einde "&amp;F224</f>
        <v>Nog af te bouwen regulatoir saldo einde 2019</v>
      </c>
      <c r="O226" s="610"/>
    </row>
    <row r="227" spans="2:15" ht="13" x14ac:dyDescent="0.25">
      <c r="B227" s="1057">
        <v>2015</v>
      </c>
      <c r="C227" s="1058"/>
      <c r="D227" s="1058"/>
      <c r="E227" s="1059"/>
      <c r="F227" s="896"/>
      <c r="G227" s="839">
        <f>+N220</f>
        <v>0</v>
      </c>
      <c r="H227" s="898">
        <f>IF(SIGN(G229*N222)&lt;0,IF(G227&lt;&gt;0,-SIGN(G227)*MIN(ABS(G229),ABS(G227)),0),0)</f>
        <v>0</v>
      </c>
      <c r="I227" s="839">
        <f>+G227+H227</f>
        <v>0</v>
      </c>
      <c r="J227" s="698"/>
      <c r="K227" s="897">
        <f>-MIN(ABS(I227),ABS(J230))*SIGN(I227)</f>
        <v>0</v>
      </c>
      <c r="L227" s="898">
        <f>+K227+H227</f>
        <v>0</v>
      </c>
      <c r="M227" s="20"/>
      <c r="N227" s="839">
        <f>+I227+K227</f>
        <v>0</v>
      </c>
      <c r="O227" s="610"/>
    </row>
    <row r="228" spans="2:15" ht="13" x14ac:dyDescent="0.25">
      <c r="B228" s="1057">
        <v>2016</v>
      </c>
      <c r="C228" s="1058"/>
      <c r="D228" s="1058">
        <v>2016</v>
      </c>
      <c r="E228" s="1059"/>
      <c r="F228" s="896"/>
      <c r="G228" s="839">
        <f>+N221</f>
        <v>0</v>
      </c>
      <c r="H228" s="898">
        <f>IF(SIGN(G229*N222)&lt;0,IF(G228&lt;&gt;0,-SIGN(G228)*MIN(ABS(G229-H227),ABS(G228)),0),0)</f>
        <v>0</v>
      </c>
      <c r="I228" s="839">
        <f>+G228+H228</f>
        <v>0</v>
      </c>
      <c r="J228" s="698"/>
      <c r="K228" s="897">
        <f>-MIN(ABS(I228),ABS(J230-K227))*SIGN(I228)</f>
        <v>0</v>
      </c>
      <c r="L228" s="898">
        <f>+K228+H228</f>
        <v>0</v>
      </c>
      <c r="M228" s="20"/>
      <c r="N228" s="839">
        <f>+I228+K228</f>
        <v>0</v>
      </c>
      <c r="O228" s="610"/>
    </row>
    <row r="229" spans="2:15" ht="13" x14ac:dyDescent="0.25">
      <c r="B229" s="1057">
        <v>2017</v>
      </c>
      <c r="C229" s="1058"/>
      <c r="D229" s="1058"/>
      <c r="E229" s="1059"/>
      <c r="F229" s="896"/>
      <c r="G229" s="839">
        <f>I105</f>
        <v>0</v>
      </c>
      <c r="H229" s="898">
        <f>IF(SIGN(G229*N222)&lt;0,-SUM(H227:H228),0)</f>
        <v>0</v>
      </c>
      <c r="I229" s="839">
        <f>+G229+H229</f>
        <v>0</v>
      </c>
      <c r="J229" s="698"/>
      <c r="K229" s="897">
        <f>-MIN(ABS(I229),ABS(J230-K227-K228))*SIGN(I229)</f>
        <v>0</v>
      </c>
      <c r="L229" s="898">
        <f>+K229+H229</f>
        <v>0</v>
      </c>
      <c r="M229" s="20"/>
      <c r="N229" s="839">
        <f>+I229+K229</f>
        <v>0</v>
      </c>
      <c r="O229" s="610"/>
    </row>
    <row r="230" spans="2:15" s="18" customFormat="1" ht="13" x14ac:dyDescent="0.3">
      <c r="G230" s="899">
        <f>SUM(G227:G229)</f>
        <v>0</v>
      </c>
      <c r="H230" s="899">
        <f>SUM(H227:H229)</f>
        <v>0</v>
      </c>
      <c r="I230" s="899">
        <f>SUM(I227:I229)</f>
        <v>0</v>
      </c>
      <c r="J230" s="899">
        <f>-I230*IF($B$7="elektriciteit",0.75,IF($B$7="gas",0.4,"FALSE"))</f>
        <v>0</v>
      </c>
      <c r="K230" s="900">
        <f>SUM(K227:K229)</f>
        <v>0</v>
      </c>
      <c r="L230" s="901"/>
      <c r="N230" s="899">
        <f>SUM(N227:N229)</f>
        <v>0</v>
      </c>
    </row>
    <row r="231" spans="2:15" x14ac:dyDescent="0.25">
      <c r="M231" s="610"/>
    </row>
    <row r="232" spans="2:15" ht="13" x14ac:dyDescent="0.3">
      <c r="B232" s="18" t="s">
        <v>362</v>
      </c>
      <c r="F232" s="895">
        <v>2020</v>
      </c>
      <c r="M232" s="20"/>
    </row>
    <row r="233" spans="2:15" x14ac:dyDescent="0.25">
      <c r="M233" s="20"/>
    </row>
    <row r="234" spans="2:15" ht="78" customHeight="1" x14ac:dyDescent="0.25">
      <c r="B234" s="1060" t="s">
        <v>363</v>
      </c>
      <c r="C234" s="1061"/>
      <c r="D234" s="1061"/>
      <c r="E234" s="1062"/>
      <c r="F234" s="599"/>
      <c r="G234" s="675" t="str">
        <f>"Nog af te bouwen regulatoir saldo einde "&amp;F232-1</f>
        <v>Nog af te bouwen regulatoir saldo einde 2019</v>
      </c>
      <c r="H234" s="675" t="str">
        <f>"Afbouw oudste openstaande regulatoir saldo vanaf boekjaar "&amp;F232-3&amp;" en vroeger, door aanwending van compensatie met regulatoir saldo ontstaan over boekjaar "&amp;F232-2</f>
        <v>Afbouw oudste openstaande regulatoir saldo vanaf boekjaar 2017 en vroeger, door aanwending van compensatie met regulatoir saldo ontstaan over boekjaar 2018</v>
      </c>
      <c r="I234" s="675" t="str">
        <f>"Nog af te bouwen regulatoir saldo na compensatie einde "&amp;F232-1</f>
        <v>Nog af te bouwen regulatoir saldo na compensatie einde 2019</v>
      </c>
      <c r="J234" s="675" t="str">
        <f>"Aanwending van "&amp;IF($B$7="elektriciteit","75%",IF($B$7="gas","40%","FALSE"))&amp;" van het geaccumuleerd regulatoir saldo door te rekenen volgens de tariefmethodologie in het boekjaar "&amp;F232</f>
        <v>Aanwending van 75% van het geaccumuleerd regulatoir saldo door te rekenen volgens de tariefmethodologie in het boekjaar 2020</v>
      </c>
      <c r="K234" s="675" t="str">
        <f>"Aanwending van "&amp;IF($B$7="elektriciteit","75%",IF($B$7="gas","40%","FALSE"))&amp;" van het geaccumuleerd regulatoir saldo door te rekenen volgens de tariefmethodologie in het boekjaar "&amp;F232</f>
        <v>Aanwending van 75% van het geaccumuleerd regulatoir saldo door te rekenen volgens de tariefmethodologie in het boekjaar 2020</v>
      </c>
      <c r="L234" s="675" t="str">
        <f>"Totale afbouw over "&amp;F232</f>
        <v>Totale afbouw over 2020</v>
      </c>
      <c r="M234" s="20"/>
      <c r="N234" s="675" t="str">
        <f>"Nog af te bouwen regulatoir saldo einde "&amp;F232</f>
        <v>Nog af te bouwen regulatoir saldo einde 2020</v>
      </c>
      <c r="O234" s="610"/>
    </row>
    <row r="235" spans="2:15" ht="13" x14ac:dyDescent="0.25">
      <c r="B235" s="1057">
        <v>2015</v>
      </c>
      <c r="C235" s="1058"/>
      <c r="D235" s="1058"/>
      <c r="E235" s="1059"/>
      <c r="F235" s="896"/>
      <c r="G235" s="839">
        <f>+N227</f>
        <v>0</v>
      </c>
      <c r="H235" s="898">
        <f>IF(SIGN(G238*N230)&lt;0,IF(G235&lt;&gt;0,-SIGN(G235)*MIN(ABS(G238),ABS(G235)),0),0)</f>
        <v>0</v>
      </c>
      <c r="I235" s="839">
        <f>+G235+H235</f>
        <v>0</v>
      </c>
      <c r="J235" s="698"/>
      <c r="K235" s="897">
        <f>-MIN(ABS(I235),ABS(J239))*SIGN(I235)</f>
        <v>0</v>
      </c>
      <c r="L235" s="898">
        <f>+K235+H235</f>
        <v>0</v>
      </c>
      <c r="M235" s="20"/>
      <c r="N235" s="839">
        <f>+I235+K235</f>
        <v>0</v>
      </c>
      <c r="O235" s="610"/>
    </row>
    <row r="236" spans="2:15" ht="13" x14ac:dyDescent="0.25">
      <c r="B236" s="1057">
        <v>2016</v>
      </c>
      <c r="C236" s="1058"/>
      <c r="D236" s="1058"/>
      <c r="E236" s="1059"/>
      <c r="F236" s="896"/>
      <c r="G236" s="839">
        <f>+N228</f>
        <v>0</v>
      </c>
      <c r="H236" s="898">
        <f>IF(SIGN(G238*N230)&lt;0,IF(G236&lt;&gt;0,-SIGN(G236)*MIN(ABS(G238-H235),ABS(G236)),0),0)</f>
        <v>0</v>
      </c>
      <c r="I236" s="839">
        <f>+G236+H236</f>
        <v>0</v>
      </c>
      <c r="J236" s="698"/>
      <c r="K236" s="897">
        <f>-MIN(ABS(I236),ABS(J239-K235))*SIGN(I236)</f>
        <v>0</v>
      </c>
      <c r="L236" s="898">
        <f>+K236+H236</f>
        <v>0</v>
      </c>
      <c r="M236" s="20"/>
      <c r="N236" s="839">
        <f>+I236+K236</f>
        <v>0</v>
      </c>
      <c r="O236" s="610"/>
    </row>
    <row r="237" spans="2:15" ht="13" x14ac:dyDescent="0.25">
      <c r="B237" s="1057">
        <v>2017</v>
      </c>
      <c r="C237" s="1058"/>
      <c r="D237" s="1058">
        <v>2016</v>
      </c>
      <c r="E237" s="1059"/>
      <c r="F237" s="896"/>
      <c r="G237" s="839">
        <f>+N229</f>
        <v>0</v>
      </c>
      <c r="H237" s="898">
        <f>IF(SIGN(G238*N230)&lt;0,IF(G237&lt;&gt;0,-SIGN(G237)*MIN(ABS(G238-H235-H236),ABS(G237)),0),0)</f>
        <v>0</v>
      </c>
      <c r="I237" s="839">
        <f>+G237+H237</f>
        <v>0</v>
      </c>
      <c r="J237" s="698"/>
      <c r="K237" s="897">
        <f>-MIN(ABS(I237),ABS(J239-K235-K236))*SIGN(I237)</f>
        <v>0</v>
      </c>
      <c r="L237" s="898">
        <f>+K237+H237</f>
        <v>0</v>
      </c>
      <c r="M237" s="20"/>
      <c r="N237" s="839">
        <f>+I237+K237</f>
        <v>0</v>
      </c>
      <c r="O237" s="610"/>
    </row>
    <row r="238" spans="2:15" ht="13" x14ac:dyDescent="0.25">
      <c r="B238" s="1057">
        <v>2018</v>
      </c>
      <c r="C238" s="1058"/>
      <c r="D238" s="1058"/>
      <c r="E238" s="1059"/>
      <c r="F238" s="896"/>
      <c r="G238" s="839">
        <f>J106</f>
        <v>0</v>
      </c>
      <c r="H238" s="898">
        <f>IF(SIGN(G238*N230)&lt;0,-SUM(H235:H237),0)</f>
        <v>0</v>
      </c>
      <c r="I238" s="839">
        <f>+G238+H238</f>
        <v>0</v>
      </c>
      <c r="J238" s="698"/>
      <c r="K238" s="897">
        <f>-MIN(ABS(I238),ABS(J239-K235-K236-K237))*SIGN(I238)</f>
        <v>0</v>
      </c>
      <c r="L238" s="898">
        <f>+K238+H238</f>
        <v>0</v>
      </c>
      <c r="M238" s="20"/>
      <c r="N238" s="839">
        <f>+I238+K238</f>
        <v>0</v>
      </c>
      <c r="O238" s="610"/>
    </row>
    <row r="239" spans="2:15" s="18" customFormat="1" ht="13" x14ac:dyDescent="0.3">
      <c r="G239" s="899">
        <f>SUM(G235:G238)</f>
        <v>0</v>
      </c>
      <c r="H239" s="899">
        <f>SUM(H235:H238)</f>
        <v>0</v>
      </c>
      <c r="I239" s="899">
        <f>SUM(I235:I238)</f>
        <v>0</v>
      </c>
      <c r="J239" s="899">
        <f>-I239*IF($B$7="elektriciteit",0.75,IF($B$7="gas",0.4,"FALSE"))</f>
        <v>0</v>
      </c>
      <c r="K239" s="900">
        <f>SUM(K235:K238)</f>
        <v>0</v>
      </c>
      <c r="L239" s="900"/>
      <c r="N239" s="899">
        <f>SUM(N235:N238)</f>
        <v>0</v>
      </c>
    </row>
    <row r="242" spans="2:14" ht="13" x14ac:dyDescent="0.3">
      <c r="B242" s="18" t="s">
        <v>364</v>
      </c>
      <c r="C242" s="381"/>
      <c r="D242" s="381"/>
      <c r="E242" s="381"/>
    </row>
    <row r="243" spans="2:14" ht="13" x14ac:dyDescent="0.3">
      <c r="B243" s="18"/>
      <c r="C243" s="381"/>
      <c r="D243" s="381"/>
      <c r="E243" s="381"/>
    </row>
    <row r="244" spans="2:14" ht="13" x14ac:dyDescent="0.3">
      <c r="B244" s="864">
        <f>F212</f>
        <v>2017</v>
      </c>
      <c r="C244" s="906">
        <f>J215</f>
        <v>0</v>
      </c>
      <c r="D244" s="381"/>
      <c r="E244" s="381"/>
    </row>
    <row r="245" spans="2:14" ht="13" x14ac:dyDescent="0.3">
      <c r="B245" s="864">
        <f>F217</f>
        <v>2018</v>
      </c>
      <c r="C245" s="906">
        <f>K222</f>
        <v>0</v>
      </c>
      <c r="D245" s="381"/>
      <c r="E245" s="381"/>
    </row>
    <row r="246" spans="2:14" ht="13" x14ac:dyDescent="0.3">
      <c r="B246" s="864">
        <f>F224</f>
        <v>2019</v>
      </c>
      <c r="C246" s="906">
        <f>K230</f>
        <v>0</v>
      </c>
      <c r="D246" s="381"/>
      <c r="E246" s="381"/>
    </row>
    <row r="247" spans="2:14" ht="13" x14ac:dyDescent="0.3">
      <c r="B247" s="864">
        <f>F232</f>
        <v>2020</v>
      </c>
      <c r="C247" s="906">
        <f>K239</f>
        <v>0</v>
      </c>
      <c r="D247" s="381"/>
      <c r="E247" s="381"/>
    </row>
    <row r="248" spans="2:14" x14ac:dyDescent="0.25">
      <c r="M248" s="610"/>
    </row>
    <row r="249" spans="2:14" x14ac:dyDescent="0.25">
      <c r="M249" s="610"/>
    </row>
    <row r="250" spans="2:14" ht="13" x14ac:dyDescent="0.3">
      <c r="B250" s="902" t="s">
        <v>133</v>
      </c>
      <c r="C250" s="903"/>
      <c r="D250" s="903"/>
      <c r="E250" s="903"/>
      <c r="F250" s="904"/>
      <c r="G250" s="904"/>
      <c r="H250" s="904"/>
      <c r="I250" s="904"/>
      <c r="J250" s="904"/>
      <c r="K250" s="904"/>
      <c r="L250" s="904"/>
      <c r="M250" s="905"/>
      <c r="N250" s="904"/>
    </row>
    <row r="251" spans="2:14" x14ac:dyDescent="0.25">
      <c r="M251" s="610"/>
    </row>
    <row r="252" spans="2:14" ht="13" x14ac:dyDescent="0.3">
      <c r="B252" s="18" t="s">
        <v>362</v>
      </c>
      <c r="F252" s="895">
        <v>2017</v>
      </c>
      <c r="M252" s="610"/>
    </row>
    <row r="253" spans="2:14" x14ac:dyDescent="0.25">
      <c r="L253" s="610"/>
      <c r="M253" s="20"/>
    </row>
    <row r="254" spans="2:14" ht="82.5" customHeight="1" x14ac:dyDescent="0.25">
      <c r="B254" s="1060" t="s">
        <v>363</v>
      </c>
      <c r="C254" s="1061"/>
      <c r="D254" s="1061"/>
      <c r="E254" s="1062"/>
      <c r="F254" s="599"/>
      <c r="G254" s="675" t="str">
        <f>"Nog af te bouwen regulatoir saldo einde "&amp;F252-1</f>
        <v>Nog af te bouwen regulatoir saldo einde 2016</v>
      </c>
      <c r="H254" s="675" t="str">
        <f>"Afbouw oudste openstaande regulatoir saldo vanaf boekjaar "&amp;F252-3&amp;" en vroeger, door aanwending van compensatie met regulatoir saldo ontstaan over boekjaar "&amp;F252-2</f>
        <v>Afbouw oudste openstaande regulatoir saldo vanaf boekjaar 2014 en vroeger, door aanwending van compensatie met regulatoir saldo ontstaan over boekjaar 2015</v>
      </c>
      <c r="I254" s="675" t="str">
        <f>"Nog af te bouwen regulatoir saldo na compensatie einde "&amp;F252-1</f>
        <v>Nog af te bouwen regulatoir saldo na compensatie einde 2016</v>
      </c>
      <c r="J254" s="675" t="str">
        <f>"Aanwending van "&amp;IF($B$7="elektriciteit","75%",IF($B$7="gas","40%","FALSE"))&amp;" van het geaccumuleerd regulatoir saldo door te rekenen volgens de tariefmethodologie in het boekjaar "&amp;F252</f>
        <v>Aanwending van 75% van het geaccumuleerd regulatoir saldo door te rekenen volgens de tariefmethodologie in het boekjaar 2017</v>
      </c>
      <c r="K254" s="675" t="str">
        <f>"Nog af te bouwen regulatoir saldo einde "&amp;F252</f>
        <v>Nog af te bouwen regulatoir saldo einde 2017</v>
      </c>
      <c r="L254" s="610"/>
      <c r="M254" s="20"/>
    </row>
    <row r="255" spans="2:14" ht="13" x14ac:dyDescent="0.25">
      <c r="B255" s="1057">
        <v>2015</v>
      </c>
      <c r="C255" s="1058"/>
      <c r="D255" s="1058"/>
      <c r="E255" s="1059"/>
      <c r="F255" s="896"/>
      <c r="G255" s="839">
        <f>G110</f>
        <v>0</v>
      </c>
      <c r="H255" s="897">
        <v>0</v>
      </c>
      <c r="I255" s="839">
        <f>+G255+H255</f>
        <v>0</v>
      </c>
      <c r="J255" s="839">
        <f>-I255*IF($B$7="elektriciteit",0.75,IF($B$7="gas",0.4,"FALSE"))</f>
        <v>0</v>
      </c>
      <c r="K255" s="908">
        <f>+J255+G255</f>
        <v>0</v>
      </c>
      <c r="L255" s="610"/>
      <c r="M255" s="20"/>
    </row>
    <row r="256" spans="2:14" x14ac:dyDescent="0.25">
      <c r="L256" s="610"/>
      <c r="M256" s="20"/>
    </row>
    <row r="257" spans="2:15" ht="13" x14ac:dyDescent="0.3">
      <c r="B257" s="18" t="s">
        <v>362</v>
      </c>
      <c r="F257" s="895">
        <v>2018</v>
      </c>
      <c r="M257" s="610"/>
    </row>
    <row r="258" spans="2:15" x14ac:dyDescent="0.25">
      <c r="M258" s="610"/>
    </row>
    <row r="259" spans="2:15" ht="69.75" customHeight="1" x14ac:dyDescent="0.25">
      <c r="B259" s="1060" t="s">
        <v>363</v>
      </c>
      <c r="C259" s="1061"/>
      <c r="D259" s="1061"/>
      <c r="E259" s="1062"/>
      <c r="F259" s="599"/>
      <c r="G259" s="675" t="str">
        <f>"Nog af te bouwen regulatoir saldo einde "&amp;F257-1</f>
        <v>Nog af te bouwen regulatoir saldo einde 2017</v>
      </c>
      <c r="H259" s="675" t="str">
        <f>"Afbouw oudste openstaande regulatoir saldo vanaf boekjaar "&amp;F257-3&amp;" en vroeger, door aanwending van compensatie met regulatoir saldo ontstaan over boekjaar "&amp;F257-2</f>
        <v>Afbouw oudste openstaande regulatoir saldo vanaf boekjaar 2015 en vroeger, door aanwending van compensatie met regulatoir saldo ontstaan over boekjaar 2016</v>
      </c>
      <c r="I259" s="675" t="str">
        <f>"Nog af te bouwen regulatoir saldo na compensatie einde "&amp;F257-1</f>
        <v>Nog af te bouwen regulatoir saldo na compensatie einde 2017</v>
      </c>
      <c r="J259" s="675" t="str">
        <f>"Aanwending van "&amp;IF($B$7="elektriciteit","75%",IF($B$7="gas","40%","FALSE"))&amp;" van het geaccumuleerd regulatoir saldo door te rekenen volgens de tariefmethodologie in het boekjaar "&amp;F257</f>
        <v>Aanwending van 75% van het geaccumuleerd regulatoir saldo door te rekenen volgens de tariefmethodologie in het boekjaar 2018</v>
      </c>
      <c r="K259" s="675" t="str">
        <f>"Aanwending van "&amp;IF($B$7="elektriciteit","75%",IF($B$7="gas","40%","FALSE"))&amp;" van het geaccumuleerd regulatoir saldo door te rekenen volgens de tariefmethodologie in het boekjaar "&amp;F257</f>
        <v>Aanwending van 75% van het geaccumuleerd regulatoir saldo door te rekenen volgens de tariefmethodologie in het boekjaar 2018</v>
      </c>
      <c r="L259" s="675" t="str">
        <f>"Totale afbouw over "&amp;F257</f>
        <v>Totale afbouw over 2018</v>
      </c>
      <c r="M259" s="20"/>
      <c r="N259" s="675" t="str">
        <f>"Nog af te bouwen regulatoir saldo einde "&amp;F257</f>
        <v>Nog af te bouwen regulatoir saldo einde 2018</v>
      </c>
      <c r="O259" s="610"/>
    </row>
    <row r="260" spans="2:15" ht="13" x14ac:dyDescent="0.25">
      <c r="B260" s="1057">
        <v>2015</v>
      </c>
      <c r="C260" s="1058"/>
      <c r="D260" s="1058"/>
      <c r="E260" s="1059"/>
      <c r="F260" s="896"/>
      <c r="G260" s="839">
        <f>K255</f>
        <v>0</v>
      </c>
      <c r="H260" s="897">
        <f>IF(SIGN(G261*K255)&lt;0,IF(G260&lt;&gt;0,-SIGN(G260)*MIN(ABS(G261),ABS(G260)),0),0)</f>
        <v>0</v>
      </c>
      <c r="I260" s="839">
        <f>+G260+H260</f>
        <v>0</v>
      </c>
      <c r="J260" s="698"/>
      <c r="K260" s="897">
        <f>-MIN(ABS(I260),ABS(J262))*SIGN(I260)</f>
        <v>0</v>
      </c>
      <c r="L260" s="898">
        <f>+K260+H260</f>
        <v>0</v>
      </c>
      <c r="M260" s="20"/>
      <c r="N260" s="839">
        <f>+I260+K260</f>
        <v>0</v>
      </c>
      <c r="O260" s="610"/>
    </row>
    <row r="261" spans="2:15" ht="13" x14ac:dyDescent="0.25">
      <c r="B261" s="1057">
        <v>2016</v>
      </c>
      <c r="C261" s="1058"/>
      <c r="D261" s="1058"/>
      <c r="E261" s="1059"/>
      <c r="F261" s="896"/>
      <c r="G261" s="839">
        <f>H111</f>
        <v>0</v>
      </c>
      <c r="H261" s="898">
        <f>IF(SIGN(G261*K255)&lt;0,-H260,0)</f>
        <v>0</v>
      </c>
      <c r="I261" s="839">
        <f>+G261+H261</f>
        <v>0</v>
      </c>
      <c r="J261" s="698"/>
      <c r="K261" s="897">
        <f>-MIN(ABS(I261),ABS(J262-K260))*SIGN(I261)</f>
        <v>0</v>
      </c>
      <c r="L261" s="898">
        <f>+K261+H261</f>
        <v>0</v>
      </c>
      <c r="M261" s="20"/>
      <c r="N261" s="839">
        <f>+I261+K261</f>
        <v>0</v>
      </c>
      <c r="O261" s="610"/>
    </row>
    <row r="262" spans="2:15" s="18" customFormat="1" ht="13" x14ac:dyDescent="0.3">
      <c r="G262" s="899">
        <f>SUM(G260:G261)</f>
        <v>0</v>
      </c>
      <c r="H262" s="899">
        <f>SUM(H260:H261)</f>
        <v>0</v>
      </c>
      <c r="I262" s="899">
        <f>SUM(I260:I261)</f>
        <v>0</v>
      </c>
      <c r="J262" s="899">
        <f>-I262*IF($B$7="elektriciteit",0.75,IF($B$7="gas",0.4,"FALSE"))</f>
        <v>0</v>
      </c>
      <c r="K262" s="900">
        <f>SUM(K260:K261)</f>
        <v>0</v>
      </c>
      <c r="L262" s="901"/>
      <c r="N262" s="899">
        <f>SUM(N260:N261)</f>
        <v>0</v>
      </c>
    </row>
    <row r="263" spans="2:15" x14ac:dyDescent="0.25">
      <c r="M263" s="610"/>
    </row>
    <row r="264" spans="2:15" ht="13" x14ac:dyDescent="0.3">
      <c r="B264" s="18" t="s">
        <v>362</v>
      </c>
      <c r="F264" s="895">
        <v>2019</v>
      </c>
      <c r="M264" s="20"/>
    </row>
    <row r="265" spans="2:15" x14ac:dyDescent="0.25">
      <c r="M265" s="20"/>
    </row>
    <row r="266" spans="2:15" ht="75.75" customHeight="1" x14ac:dyDescent="0.25">
      <c r="B266" s="1060" t="s">
        <v>363</v>
      </c>
      <c r="C266" s="1061"/>
      <c r="D266" s="1061"/>
      <c r="E266" s="1062"/>
      <c r="F266" s="599"/>
      <c r="G266" s="675" t="str">
        <f>"Nog af te bouwen regulatoir saldo einde "&amp;F264-1</f>
        <v>Nog af te bouwen regulatoir saldo einde 2018</v>
      </c>
      <c r="H266" s="675" t="str">
        <f>"Afbouw oudste openstaande regulatoir saldo vanaf boekjaar "&amp;F264-3&amp;" en vroeger, door aanwending van compensatie met regulatoir saldo ontstaan over boekjaar "&amp;F264-2</f>
        <v>Afbouw oudste openstaande regulatoir saldo vanaf boekjaar 2016 en vroeger, door aanwending van compensatie met regulatoir saldo ontstaan over boekjaar 2017</v>
      </c>
      <c r="I266" s="675" t="str">
        <f>"Nog af te bouwen regulatoir saldo na compensatie einde "&amp;F264-1</f>
        <v>Nog af te bouwen regulatoir saldo na compensatie einde 2018</v>
      </c>
      <c r="J266" s="675" t="str">
        <f>"Aanwending van "&amp;IF($B$7="elektriciteit","75%",IF($B$7="gas","40%","FALSE"))&amp;" van het geaccumuleerd regulatoir saldo door te rekenen volgens de tariefmethodologie in het boekjaar "&amp;F264</f>
        <v>Aanwending van 75% van het geaccumuleerd regulatoir saldo door te rekenen volgens de tariefmethodologie in het boekjaar 2019</v>
      </c>
      <c r="K266" s="675" t="str">
        <f>"Aanwending van "&amp;IF($B$7="elektriciteit","75%",IF($B$7="gas","40%","FALSE"))&amp;" van het geaccumuleerd regulatoir saldo door te rekenen volgens de tariefmethodologie in het boekjaar "&amp;F264</f>
        <v>Aanwending van 75% van het geaccumuleerd regulatoir saldo door te rekenen volgens de tariefmethodologie in het boekjaar 2019</v>
      </c>
      <c r="L266" s="675" t="str">
        <f>"Totale afbouw over "&amp;F264</f>
        <v>Totale afbouw over 2019</v>
      </c>
      <c r="M266" s="20"/>
      <c r="N266" s="675" t="str">
        <f>"Nog af te bouwen regulatoir saldo einde "&amp;F264</f>
        <v>Nog af te bouwen regulatoir saldo einde 2019</v>
      </c>
      <c r="O266" s="610"/>
    </row>
    <row r="267" spans="2:15" ht="13" x14ac:dyDescent="0.25">
      <c r="B267" s="1057">
        <v>2015</v>
      </c>
      <c r="C267" s="1058"/>
      <c r="D267" s="1058"/>
      <c r="E267" s="1059"/>
      <c r="F267" s="896"/>
      <c r="G267" s="839">
        <f>+N260</f>
        <v>0</v>
      </c>
      <c r="H267" s="898">
        <f>IF(SIGN(G269*N262)&lt;0,IF(G267&lt;&gt;0,-SIGN(G267)*MIN(ABS(G269),ABS(G267)),0),0)</f>
        <v>0</v>
      </c>
      <c r="I267" s="839">
        <f>+G267+H267</f>
        <v>0</v>
      </c>
      <c r="J267" s="698"/>
      <c r="K267" s="897">
        <f>-MIN(ABS(I267),ABS(J270))*SIGN(I267)</f>
        <v>0</v>
      </c>
      <c r="L267" s="898">
        <f>+K267+H267</f>
        <v>0</v>
      </c>
      <c r="M267" s="20"/>
      <c r="N267" s="839">
        <f>+I267+K267</f>
        <v>0</v>
      </c>
      <c r="O267" s="610"/>
    </row>
    <row r="268" spans="2:15" ht="13" x14ac:dyDescent="0.25">
      <c r="B268" s="1057">
        <v>2016</v>
      </c>
      <c r="C268" s="1058"/>
      <c r="D268" s="1058">
        <v>2016</v>
      </c>
      <c r="E268" s="1059"/>
      <c r="F268" s="896"/>
      <c r="G268" s="839">
        <f>+N261</f>
        <v>0</v>
      </c>
      <c r="H268" s="898">
        <f>IF(SIGN(G269*N262)&lt;0,IF(G268&lt;&gt;0,-SIGN(G268)*MIN(ABS(G269-H267),ABS(G268)),0),0)</f>
        <v>0</v>
      </c>
      <c r="I268" s="839">
        <f>+G268+H268</f>
        <v>0</v>
      </c>
      <c r="J268" s="698"/>
      <c r="K268" s="897">
        <f>-MIN(ABS(I268),ABS(J270-K267))*SIGN(I268)</f>
        <v>0</v>
      </c>
      <c r="L268" s="898">
        <f>+K268+H268</f>
        <v>0</v>
      </c>
      <c r="M268" s="20"/>
      <c r="N268" s="839">
        <f>+I268+K268</f>
        <v>0</v>
      </c>
      <c r="O268" s="610"/>
    </row>
    <row r="269" spans="2:15" ht="13" x14ac:dyDescent="0.25">
      <c r="B269" s="1057">
        <v>2017</v>
      </c>
      <c r="C269" s="1058"/>
      <c r="D269" s="1058"/>
      <c r="E269" s="1059"/>
      <c r="F269" s="896"/>
      <c r="G269" s="839">
        <f>I112</f>
        <v>0</v>
      </c>
      <c r="H269" s="898">
        <f>IF(SIGN(G269*N262)&lt;0,-SUM(H267:H268),0)</f>
        <v>0</v>
      </c>
      <c r="I269" s="839">
        <f>+G269+H269</f>
        <v>0</v>
      </c>
      <c r="J269" s="698"/>
      <c r="K269" s="897">
        <f>-MIN(ABS(I269),ABS(J270-K267-K268))*SIGN(I269)</f>
        <v>0</v>
      </c>
      <c r="L269" s="898">
        <f>+K269+H269</f>
        <v>0</v>
      </c>
      <c r="M269" s="20"/>
      <c r="N269" s="839">
        <f>+I269+K269</f>
        <v>0</v>
      </c>
      <c r="O269" s="610"/>
    </row>
    <row r="270" spans="2:15" s="18" customFormat="1" ht="13" x14ac:dyDescent="0.3">
      <c r="G270" s="899">
        <f>SUM(G267:G269)</f>
        <v>0</v>
      </c>
      <c r="H270" s="899">
        <f>SUM(H267:H269)</f>
        <v>0</v>
      </c>
      <c r="I270" s="899">
        <f>SUM(I267:I269)</f>
        <v>0</v>
      </c>
      <c r="J270" s="899">
        <f>-I270*IF($B$7="elektriciteit",0.75,IF($B$7="gas",0.4,"FALSE"))</f>
        <v>0</v>
      </c>
      <c r="K270" s="900">
        <f>SUM(K267:K269)</f>
        <v>0</v>
      </c>
      <c r="L270" s="901"/>
      <c r="N270" s="899">
        <f>SUM(N267:N269)</f>
        <v>0</v>
      </c>
    </row>
    <row r="271" spans="2:15" x14ac:dyDescent="0.25">
      <c r="M271" s="610"/>
    </row>
    <row r="272" spans="2:15" ht="13" x14ac:dyDescent="0.3">
      <c r="B272" s="18" t="s">
        <v>362</v>
      </c>
      <c r="F272" s="895">
        <v>2020</v>
      </c>
      <c r="M272" s="20"/>
    </row>
    <row r="273" spans="2:15" x14ac:dyDescent="0.25">
      <c r="M273" s="20"/>
    </row>
    <row r="274" spans="2:15" ht="78" customHeight="1" x14ac:dyDescent="0.25">
      <c r="B274" s="1060" t="s">
        <v>363</v>
      </c>
      <c r="C274" s="1061"/>
      <c r="D274" s="1061"/>
      <c r="E274" s="1062"/>
      <c r="F274" s="599"/>
      <c r="G274" s="675" t="str">
        <f>"Nog af te bouwen regulatoir saldo einde "&amp;F272-1</f>
        <v>Nog af te bouwen regulatoir saldo einde 2019</v>
      </c>
      <c r="H274" s="675" t="str">
        <f>"Afbouw oudste openstaande regulatoir saldo vanaf boekjaar "&amp;F272-3&amp;" en vroeger, door aanwending van compensatie met regulatoir saldo ontstaan over boekjaar "&amp;F272-2</f>
        <v>Afbouw oudste openstaande regulatoir saldo vanaf boekjaar 2017 en vroeger, door aanwending van compensatie met regulatoir saldo ontstaan over boekjaar 2018</v>
      </c>
      <c r="I274" s="675" t="str">
        <f>"Nog af te bouwen regulatoir saldo na compensatie einde "&amp;F272-1</f>
        <v>Nog af te bouwen regulatoir saldo na compensatie einde 2019</v>
      </c>
      <c r="J274" s="675" t="str">
        <f>"Aanwending van "&amp;IF($B$7="elektriciteit","75%",IF($B$7="gas","40%","FALSE"))&amp;" van het geaccumuleerd regulatoir saldo door te rekenen volgens de tariefmethodologie in het boekjaar "&amp;F272</f>
        <v>Aanwending van 75% van het geaccumuleerd regulatoir saldo door te rekenen volgens de tariefmethodologie in het boekjaar 2020</v>
      </c>
      <c r="K274" s="675" t="str">
        <f>"Aanwending van "&amp;IF($B$7="elektriciteit","75%",IF($B$7="gas","40%","FALSE"))&amp;" van het geaccumuleerd regulatoir saldo door te rekenen volgens de tariefmethodologie in het boekjaar "&amp;F272</f>
        <v>Aanwending van 75% van het geaccumuleerd regulatoir saldo door te rekenen volgens de tariefmethodologie in het boekjaar 2020</v>
      </c>
      <c r="L274" s="675" t="str">
        <f>"Totale afbouw over "&amp;F272</f>
        <v>Totale afbouw over 2020</v>
      </c>
      <c r="M274" s="20"/>
      <c r="N274" s="675" t="str">
        <f>"Nog af te bouwen regulatoir saldo einde "&amp;F272</f>
        <v>Nog af te bouwen regulatoir saldo einde 2020</v>
      </c>
      <c r="O274" s="610"/>
    </row>
    <row r="275" spans="2:15" ht="13" x14ac:dyDescent="0.25">
      <c r="B275" s="1057">
        <v>2015</v>
      </c>
      <c r="C275" s="1058"/>
      <c r="D275" s="1058"/>
      <c r="E275" s="1059"/>
      <c r="F275" s="896"/>
      <c r="G275" s="839">
        <f>+N267</f>
        <v>0</v>
      </c>
      <c r="H275" s="898">
        <f>IF(SIGN(G278*N270)&lt;0,IF(G275&lt;&gt;0,-SIGN(G275)*MIN(ABS(G278),ABS(G275)),0),0)</f>
        <v>0</v>
      </c>
      <c r="I275" s="839">
        <f>+G275+H275</f>
        <v>0</v>
      </c>
      <c r="J275" s="698"/>
      <c r="K275" s="897">
        <f>-MIN(ABS(I275),ABS(J279))*SIGN(I275)</f>
        <v>0</v>
      </c>
      <c r="L275" s="898">
        <f>+K275+H275</f>
        <v>0</v>
      </c>
      <c r="M275" s="20"/>
      <c r="N275" s="839">
        <f>+I275+K275</f>
        <v>0</v>
      </c>
      <c r="O275" s="610"/>
    </row>
    <row r="276" spans="2:15" ht="13" x14ac:dyDescent="0.25">
      <c r="B276" s="1057">
        <v>2016</v>
      </c>
      <c r="C276" s="1058"/>
      <c r="D276" s="1058"/>
      <c r="E276" s="1059"/>
      <c r="F276" s="896"/>
      <c r="G276" s="839">
        <f>+N268</f>
        <v>0</v>
      </c>
      <c r="H276" s="898">
        <f>IF(SIGN(G278*N270)&lt;0,IF(G276&lt;&gt;0,-SIGN(G276)*MIN(ABS(G278-H275),ABS(G276)),0),0)</f>
        <v>0</v>
      </c>
      <c r="I276" s="839">
        <f>+G276+H276</f>
        <v>0</v>
      </c>
      <c r="J276" s="698"/>
      <c r="K276" s="897">
        <f>-MIN(ABS(I276),ABS(J279-K275))*SIGN(I276)</f>
        <v>0</v>
      </c>
      <c r="L276" s="898">
        <f>+K276+H276</f>
        <v>0</v>
      </c>
      <c r="M276" s="20"/>
      <c r="N276" s="839">
        <f>+I276+K276</f>
        <v>0</v>
      </c>
      <c r="O276" s="610"/>
    </row>
    <row r="277" spans="2:15" ht="13" x14ac:dyDescent="0.25">
      <c r="B277" s="1057">
        <v>2017</v>
      </c>
      <c r="C277" s="1058"/>
      <c r="D277" s="1058">
        <v>2016</v>
      </c>
      <c r="E277" s="1059"/>
      <c r="F277" s="896"/>
      <c r="G277" s="839">
        <f>+N269</f>
        <v>0</v>
      </c>
      <c r="H277" s="898">
        <f>IF(SIGN(G278*N270)&lt;0,IF(G277&lt;&gt;0,-SIGN(G277)*MIN(ABS(G278-H275-H276),ABS(G277)),0),0)</f>
        <v>0</v>
      </c>
      <c r="I277" s="839">
        <f>+G277+H277</f>
        <v>0</v>
      </c>
      <c r="J277" s="698"/>
      <c r="K277" s="897">
        <f>-MIN(ABS(I277),ABS(J279-K275-K276))*SIGN(I277)</f>
        <v>0</v>
      </c>
      <c r="L277" s="898">
        <f>+K277+H277</f>
        <v>0</v>
      </c>
      <c r="M277" s="20"/>
      <c r="N277" s="839">
        <f>+I277+K277</f>
        <v>0</v>
      </c>
      <c r="O277" s="610"/>
    </row>
    <row r="278" spans="2:15" ht="13" x14ac:dyDescent="0.25">
      <c r="B278" s="1057">
        <v>2018</v>
      </c>
      <c r="C278" s="1058"/>
      <c r="D278" s="1058"/>
      <c r="E278" s="1059"/>
      <c r="F278" s="896"/>
      <c r="G278" s="839">
        <f>J113</f>
        <v>0</v>
      </c>
      <c r="H278" s="898">
        <f>IF(SIGN(G278*N270)&lt;0,-SUM(H275:H277),0)</f>
        <v>0</v>
      </c>
      <c r="I278" s="839">
        <f>+G278+H278</f>
        <v>0</v>
      </c>
      <c r="J278" s="698"/>
      <c r="K278" s="897">
        <f>-MIN(ABS(I278),ABS(J279-K275-K276-K277))*SIGN(I278)</f>
        <v>0</v>
      </c>
      <c r="L278" s="898">
        <f>+K278+H278</f>
        <v>0</v>
      </c>
      <c r="M278" s="20"/>
      <c r="N278" s="839">
        <f>+I278+K278</f>
        <v>0</v>
      </c>
      <c r="O278" s="610"/>
    </row>
    <row r="279" spans="2:15" s="18" customFormat="1" ht="13" x14ac:dyDescent="0.3">
      <c r="G279" s="899">
        <f>SUM(G275:G278)</f>
        <v>0</v>
      </c>
      <c r="H279" s="899">
        <f>SUM(H275:H278)</f>
        <v>0</v>
      </c>
      <c r="I279" s="899">
        <f>SUM(I275:I278)</f>
        <v>0</v>
      </c>
      <c r="J279" s="899">
        <f>-I279*IF($B$7="elektriciteit",0.75,IF($B$7="gas",0.4,"FALSE"))</f>
        <v>0</v>
      </c>
      <c r="K279" s="900">
        <f>SUM(K275:K278)</f>
        <v>0</v>
      </c>
      <c r="L279" s="900"/>
      <c r="N279" s="899">
        <f>SUM(N275:N278)</f>
        <v>0</v>
      </c>
    </row>
    <row r="282" spans="2:15" ht="13" x14ac:dyDescent="0.3">
      <c r="B282" s="18" t="s">
        <v>364</v>
      </c>
      <c r="C282" s="381"/>
      <c r="D282" s="381"/>
      <c r="E282" s="381"/>
    </row>
    <row r="283" spans="2:15" ht="13" x14ac:dyDescent="0.3">
      <c r="B283" s="18"/>
      <c r="C283" s="381"/>
      <c r="D283" s="381"/>
      <c r="E283" s="381"/>
    </row>
    <row r="284" spans="2:15" ht="13" x14ac:dyDescent="0.3">
      <c r="B284" s="864">
        <f>F252</f>
        <v>2017</v>
      </c>
      <c r="C284" s="906">
        <f>J255</f>
        <v>0</v>
      </c>
      <c r="D284" s="381"/>
      <c r="E284" s="381"/>
    </row>
    <row r="285" spans="2:15" ht="13" x14ac:dyDescent="0.3">
      <c r="B285" s="864">
        <f>F257</f>
        <v>2018</v>
      </c>
      <c r="C285" s="906">
        <f>K262</f>
        <v>0</v>
      </c>
      <c r="D285" s="381"/>
      <c r="E285" s="381"/>
    </row>
    <row r="286" spans="2:15" ht="13" x14ac:dyDescent="0.3">
      <c r="B286" s="864">
        <f>F264</f>
        <v>2019</v>
      </c>
      <c r="C286" s="906">
        <f>K270</f>
        <v>0</v>
      </c>
      <c r="D286" s="381"/>
      <c r="E286" s="381"/>
    </row>
    <row r="287" spans="2:15" ht="13" x14ac:dyDescent="0.3">
      <c r="B287" s="864">
        <f>F272</f>
        <v>2020</v>
      </c>
      <c r="C287" s="906">
        <f>K279</f>
        <v>0</v>
      </c>
      <c r="D287" s="381"/>
      <c r="E287" s="381"/>
    </row>
    <row r="288" spans="2:15" x14ac:dyDescent="0.25">
      <c r="M288" s="610"/>
    </row>
    <row r="289" spans="2:15" x14ac:dyDescent="0.25">
      <c r="M289" s="610"/>
    </row>
    <row r="290" spans="2:15" ht="13" x14ac:dyDescent="0.3">
      <c r="B290" s="902" t="s">
        <v>239</v>
      </c>
      <c r="C290" s="903"/>
      <c r="D290" s="903"/>
      <c r="E290" s="903"/>
      <c r="F290" s="904"/>
      <c r="G290" s="904"/>
      <c r="H290" s="904"/>
      <c r="I290" s="904"/>
      <c r="J290" s="904"/>
      <c r="K290" s="904"/>
      <c r="L290" s="904"/>
      <c r="M290" s="905"/>
      <c r="N290" s="904"/>
    </row>
    <row r="291" spans="2:15" x14ac:dyDescent="0.25">
      <c r="M291" s="610"/>
    </row>
    <row r="292" spans="2:15" ht="13" x14ac:dyDescent="0.3">
      <c r="B292" s="18" t="s">
        <v>362</v>
      </c>
      <c r="F292" s="895">
        <v>2017</v>
      </c>
      <c r="M292" s="610"/>
    </row>
    <row r="293" spans="2:15" x14ac:dyDescent="0.25">
      <c r="L293" s="610"/>
      <c r="M293" s="20"/>
    </row>
    <row r="294" spans="2:15" ht="82.5" customHeight="1" x14ac:dyDescent="0.25">
      <c r="B294" s="1060" t="s">
        <v>363</v>
      </c>
      <c r="C294" s="1061"/>
      <c r="D294" s="1061"/>
      <c r="E294" s="1062"/>
      <c r="F294" s="599"/>
      <c r="G294" s="675" t="str">
        <f>"Nog af te bouwen regulatoir saldo einde "&amp;F292-1</f>
        <v>Nog af te bouwen regulatoir saldo einde 2016</v>
      </c>
      <c r="H294" s="675" t="str">
        <f>"Afbouw oudste openstaande regulatoir saldo vanaf boekjaar "&amp;F292-3&amp;" en vroeger, door aanwending van compensatie met regulatoir saldo ontstaan over boekjaar "&amp;F292-2</f>
        <v>Afbouw oudste openstaande regulatoir saldo vanaf boekjaar 2014 en vroeger, door aanwending van compensatie met regulatoir saldo ontstaan over boekjaar 2015</v>
      </c>
      <c r="I294" s="675" t="str">
        <f>"Nog af te bouwen regulatoir saldo na compensatie einde "&amp;F292-1</f>
        <v>Nog af te bouwen regulatoir saldo na compensatie einde 2016</v>
      </c>
      <c r="J294" s="675" t="str">
        <f>"Aanwending van "&amp;IF($B$7="elektriciteit","75%",IF($B$7="gas","40%","FALSE"))&amp;" van het geaccumuleerd regulatoir saldo door te rekenen volgens de tariefmethodologie in het boekjaar "&amp;F292</f>
        <v>Aanwending van 75% van het geaccumuleerd regulatoir saldo door te rekenen volgens de tariefmethodologie in het boekjaar 2017</v>
      </c>
      <c r="K294" s="675" t="str">
        <f>"Nog af te bouwen regulatoir saldo einde "&amp;F292</f>
        <v>Nog af te bouwen regulatoir saldo einde 2017</v>
      </c>
      <c r="L294" s="610"/>
      <c r="M294" s="20"/>
    </row>
    <row r="295" spans="2:15" ht="13" x14ac:dyDescent="0.25">
      <c r="B295" s="1057">
        <v>2015</v>
      </c>
      <c r="C295" s="1058"/>
      <c r="D295" s="1058"/>
      <c r="E295" s="1059"/>
      <c r="F295" s="896"/>
      <c r="G295" s="839">
        <f>G117</f>
        <v>0</v>
      </c>
      <c r="H295" s="897">
        <v>0</v>
      </c>
      <c r="I295" s="839">
        <f>+G295+H295</f>
        <v>0</v>
      </c>
      <c r="J295" s="839">
        <f>-I295*IF($B$7="elektriciteit",0.75,IF($B$7="gas",0.4,"FALSE"))</f>
        <v>0</v>
      </c>
      <c r="K295" s="908">
        <f>+J295+G295</f>
        <v>0</v>
      </c>
      <c r="L295" s="610"/>
      <c r="M295" s="20"/>
    </row>
    <row r="296" spans="2:15" x14ac:dyDescent="0.25">
      <c r="L296" s="610"/>
      <c r="M296" s="20"/>
    </row>
    <row r="297" spans="2:15" ht="13" x14ac:dyDescent="0.3">
      <c r="B297" s="18" t="s">
        <v>362</v>
      </c>
      <c r="F297" s="895">
        <v>2018</v>
      </c>
      <c r="M297" s="610"/>
    </row>
    <row r="298" spans="2:15" x14ac:dyDescent="0.25">
      <c r="M298" s="610"/>
    </row>
    <row r="299" spans="2:15" ht="69.75" customHeight="1" x14ac:dyDescent="0.25">
      <c r="B299" s="1060" t="s">
        <v>363</v>
      </c>
      <c r="C299" s="1061"/>
      <c r="D299" s="1061"/>
      <c r="E299" s="1062"/>
      <c r="F299" s="599"/>
      <c r="G299" s="675" t="str">
        <f>"Nog af te bouwen regulatoir saldo einde "&amp;F297-1</f>
        <v>Nog af te bouwen regulatoir saldo einde 2017</v>
      </c>
      <c r="H299" s="675" t="str">
        <f>"Afbouw oudste openstaande regulatoir saldo vanaf boekjaar "&amp;F297-3&amp;" en vroeger, door aanwending van compensatie met regulatoir saldo ontstaan over boekjaar "&amp;F297-2</f>
        <v>Afbouw oudste openstaande regulatoir saldo vanaf boekjaar 2015 en vroeger, door aanwending van compensatie met regulatoir saldo ontstaan over boekjaar 2016</v>
      </c>
      <c r="I299" s="675" t="str">
        <f>"Nog af te bouwen regulatoir saldo na compensatie einde "&amp;F297-1</f>
        <v>Nog af te bouwen regulatoir saldo na compensatie einde 2017</v>
      </c>
      <c r="J299" s="675" t="str">
        <f>"Aanwending van "&amp;IF($B$7="elektriciteit","75%",IF($B$7="gas","40%","FALSE"))&amp;" van het geaccumuleerd regulatoir saldo door te rekenen volgens de tariefmethodologie in het boekjaar "&amp;F297</f>
        <v>Aanwending van 75% van het geaccumuleerd regulatoir saldo door te rekenen volgens de tariefmethodologie in het boekjaar 2018</v>
      </c>
      <c r="K299" s="675" t="str">
        <f>"Aanwending van "&amp;IF($B$7="elektriciteit","75%",IF($B$7="gas","40%","FALSE"))&amp;" van het geaccumuleerd regulatoir saldo door te rekenen volgens de tariefmethodologie in het boekjaar "&amp;F297</f>
        <v>Aanwending van 75% van het geaccumuleerd regulatoir saldo door te rekenen volgens de tariefmethodologie in het boekjaar 2018</v>
      </c>
      <c r="L299" s="675" t="str">
        <f>"Totale afbouw over "&amp;F297</f>
        <v>Totale afbouw over 2018</v>
      </c>
      <c r="M299" s="20"/>
      <c r="N299" s="675" t="str">
        <f>"Nog af te bouwen regulatoir saldo einde "&amp;F297</f>
        <v>Nog af te bouwen regulatoir saldo einde 2018</v>
      </c>
      <c r="O299" s="610"/>
    </row>
    <row r="300" spans="2:15" ht="13" x14ac:dyDescent="0.25">
      <c r="B300" s="1057">
        <v>2015</v>
      </c>
      <c r="C300" s="1058"/>
      <c r="D300" s="1058"/>
      <c r="E300" s="1059"/>
      <c r="F300" s="896"/>
      <c r="G300" s="839">
        <f>K295</f>
        <v>0</v>
      </c>
      <c r="H300" s="897">
        <f>IF(SIGN(G301*K295)&lt;0,IF(G300&lt;&gt;0,-SIGN(G300)*MIN(ABS(G301),ABS(G300)),0),0)</f>
        <v>0</v>
      </c>
      <c r="I300" s="839">
        <f>+G300+H300</f>
        <v>0</v>
      </c>
      <c r="J300" s="698"/>
      <c r="K300" s="897">
        <f>-MIN(ABS(I300),ABS(J302))*SIGN(I300)</f>
        <v>0</v>
      </c>
      <c r="L300" s="898">
        <f>+K300+H300</f>
        <v>0</v>
      </c>
      <c r="M300" s="20"/>
      <c r="N300" s="839">
        <f>+I300+K300</f>
        <v>0</v>
      </c>
      <c r="O300" s="610"/>
    </row>
    <row r="301" spans="2:15" ht="13" x14ac:dyDescent="0.25">
      <c r="B301" s="1057">
        <v>2016</v>
      </c>
      <c r="C301" s="1058"/>
      <c r="D301" s="1058"/>
      <c r="E301" s="1059"/>
      <c r="F301" s="896"/>
      <c r="G301" s="839">
        <f>H118</f>
        <v>0</v>
      </c>
      <c r="H301" s="898">
        <f>IF(SIGN(G301*K295)&lt;0,-H300,0)</f>
        <v>0</v>
      </c>
      <c r="I301" s="839">
        <f>+G301+H301</f>
        <v>0</v>
      </c>
      <c r="J301" s="698"/>
      <c r="K301" s="897">
        <f>-MIN(ABS(I301),ABS(J302-K300))*SIGN(I301)</f>
        <v>0</v>
      </c>
      <c r="L301" s="898">
        <f>+K301+H301</f>
        <v>0</v>
      </c>
      <c r="M301" s="20"/>
      <c r="N301" s="839">
        <f>+I301+K301</f>
        <v>0</v>
      </c>
      <c r="O301" s="610"/>
    </row>
    <row r="302" spans="2:15" s="18" customFormat="1" ht="13" x14ac:dyDescent="0.3">
      <c r="G302" s="899">
        <f>SUM(G300:G301)</f>
        <v>0</v>
      </c>
      <c r="H302" s="899">
        <f>SUM(H300:H301)</f>
        <v>0</v>
      </c>
      <c r="I302" s="899">
        <f>SUM(I300:I301)</f>
        <v>0</v>
      </c>
      <c r="J302" s="899">
        <f>-I302*IF($B$7="elektriciteit",0.75,IF($B$7="gas",0.4,"FALSE"))</f>
        <v>0</v>
      </c>
      <c r="K302" s="900">
        <f>SUM(K300:K301)</f>
        <v>0</v>
      </c>
      <c r="L302" s="901"/>
      <c r="N302" s="899">
        <f>SUM(N300:N301)</f>
        <v>0</v>
      </c>
    </row>
    <row r="303" spans="2:15" x14ac:dyDescent="0.25">
      <c r="M303" s="610"/>
    </row>
    <row r="304" spans="2:15" ht="13" x14ac:dyDescent="0.3">
      <c r="B304" s="18" t="s">
        <v>362</v>
      </c>
      <c r="F304" s="895">
        <v>2019</v>
      </c>
      <c r="M304" s="20"/>
    </row>
    <row r="305" spans="2:15" x14ac:dyDescent="0.25">
      <c r="M305" s="20"/>
    </row>
    <row r="306" spans="2:15" ht="75.75" customHeight="1" x14ac:dyDescent="0.25">
      <c r="B306" s="1060" t="s">
        <v>363</v>
      </c>
      <c r="C306" s="1061"/>
      <c r="D306" s="1061"/>
      <c r="E306" s="1062"/>
      <c r="F306" s="599"/>
      <c r="G306" s="675" t="str">
        <f>"Nog af te bouwen regulatoir saldo einde "&amp;F304-1</f>
        <v>Nog af te bouwen regulatoir saldo einde 2018</v>
      </c>
      <c r="H306" s="675" t="str">
        <f>"Afbouw oudste openstaande regulatoir saldo vanaf boekjaar "&amp;F304-3&amp;" en vroeger, door aanwending van compensatie met regulatoir saldo ontstaan over boekjaar "&amp;F304-2</f>
        <v>Afbouw oudste openstaande regulatoir saldo vanaf boekjaar 2016 en vroeger, door aanwending van compensatie met regulatoir saldo ontstaan over boekjaar 2017</v>
      </c>
      <c r="I306" s="675" t="str">
        <f>"Nog af te bouwen regulatoir saldo na compensatie einde "&amp;F304-1</f>
        <v>Nog af te bouwen regulatoir saldo na compensatie einde 2018</v>
      </c>
      <c r="J306" s="675" t="str">
        <f>"Aanwending van "&amp;IF($B$7="elektriciteit","75%",IF($B$7="gas","40%","FALSE"))&amp;" van het geaccumuleerd regulatoir saldo door te rekenen volgens de tariefmethodologie in het boekjaar "&amp;F304</f>
        <v>Aanwending van 75% van het geaccumuleerd regulatoir saldo door te rekenen volgens de tariefmethodologie in het boekjaar 2019</v>
      </c>
      <c r="K306" s="675" t="str">
        <f>"Aanwending van "&amp;IF($B$7="elektriciteit","75%",IF($B$7="gas","40%","FALSE"))&amp;" van het geaccumuleerd regulatoir saldo door te rekenen volgens de tariefmethodologie in het boekjaar "&amp;F304</f>
        <v>Aanwending van 75% van het geaccumuleerd regulatoir saldo door te rekenen volgens de tariefmethodologie in het boekjaar 2019</v>
      </c>
      <c r="L306" s="675" t="str">
        <f>"Totale afbouw over "&amp;F304</f>
        <v>Totale afbouw over 2019</v>
      </c>
      <c r="M306" s="20"/>
      <c r="N306" s="675" t="str">
        <f>"Nog af te bouwen regulatoir saldo einde "&amp;F304</f>
        <v>Nog af te bouwen regulatoir saldo einde 2019</v>
      </c>
      <c r="O306" s="610"/>
    </row>
    <row r="307" spans="2:15" ht="13" x14ac:dyDescent="0.25">
      <c r="B307" s="1057">
        <v>2015</v>
      </c>
      <c r="C307" s="1058"/>
      <c r="D307" s="1058"/>
      <c r="E307" s="1059"/>
      <c r="F307" s="896"/>
      <c r="G307" s="839">
        <f>+N300</f>
        <v>0</v>
      </c>
      <c r="H307" s="898">
        <f>IF(SIGN(G309*N302)&lt;0,IF(G307&lt;&gt;0,-SIGN(G307)*MIN(ABS(G309),ABS(G307)),0),0)</f>
        <v>0</v>
      </c>
      <c r="I307" s="839">
        <f>+G307+H307</f>
        <v>0</v>
      </c>
      <c r="J307" s="698"/>
      <c r="K307" s="897">
        <f>-MIN(ABS(I307),ABS(J310))*SIGN(I307)</f>
        <v>0</v>
      </c>
      <c r="L307" s="898">
        <f>+K307+H307</f>
        <v>0</v>
      </c>
      <c r="M307" s="20"/>
      <c r="N307" s="839">
        <f>+I307+K307</f>
        <v>0</v>
      </c>
      <c r="O307" s="610"/>
    </row>
    <row r="308" spans="2:15" ht="13" x14ac:dyDescent="0.25">
      <c r="B308" s="1057">
        <v>2016</v>
      </c>
      <c r="C308" s="1058"/>
      <c r="D308" s="1058">
        <v>2016</v>
      </c>
      <c r="E308" s="1059"/>
      <c r="F308" s="896"/>
      <c r="G308" s="839">
        <f>+N301</f>
        <v>0</v>
      </c>
      <c r="H308" s="898">
        <f>IF(SIGN(G309*N302)&lt;0,IF(G308&lt;&gt;0,-SIGN(G308)*MIN(ABS(G309-H307),ABS(G308)),0),0)</f>
        <v>0</v>
      </c>
      <c r="I308" s="839">
        <f>+G308+H308</f>
        <v>0</v>
      </c>
      <c r="J308" s="698"/>
      <c r="K308" s="897">
        <f>-MIN(ABS(I308),ABS(J310-K307))*SIGN(I308)</f>
        <v>0</v>
      </c>
      <c r="L308" s="898">
        <f>+K308+H308</f>
        <v>0</v>
      </c>
      <c r="M308" s="20"/>
      <c r="N308" s="839">
        <f>+I308+K308</f>
        <v>0</v>
      </c>
      <c r="O308" s="610"/>
    </row>
    <row r="309" spans="2:15" ht="13" x14ac:dyDescent="0.25">
      <c r="B309" s="1057">
        <v>2017</v>
      </c>
      <c r="C309" s="1058"/>
      <c r="D309" s="1058"/>
      <c r="E309" s="1059"/>
      <c r="F309" s="896"/>
      <c r="G309" s="839">
        <f>I119</f>
        <v>0</v>
      </c>
      <c r="H309" s="898">
        <f>IF(SIGN(G309*N302)&lt;0,-SUM(H307:H308),0)</f>
        <v>0</v>
      </c>
      <c r="I309" s="839">
        <f>+G309+H309</f>
        <v>0</v>
      </c>
      <c r="J309" s="698"/>
      <c r="K309" s="897">
        <f>-MIN(ABS(I309),ABS(J310-K307-K308))*SIGN(I309)</f>
        <v>0</v>
      </c>
      <c r="L309" s="898">
        <f>+K309+H309</f>
        <v>0</v>
      </c>
      <c r="M309" s="20"/>
      <c r="N309" s="839">
        <f>+I309+K309</f>
        <v>0</v>
      </c>
      <c r="O309" s="610"/>
    </row>
    <row r="310" spans="2:15" s="18" customFormat="1" ht="13" x14ac:dyDescent="0.3">
      <c r="G310" s="899">
        <f>SUM(G307:G309)</f>
        <v>0</v>
      </c>
      <c r="H310" s="899">
        <f>SUM(H307:H309)</f>
        <v>0</v>
      </c>
      <c r="I310" s="899">
        <f>SUM(I307:I309)</f>
        <v>0</v>
      </c>
      <c r="J310" s="899">
        <f>-I310*IF($B$7="elektriciteit",0.75,IF($B$7="gas",0.4,"FALSE"))</f>
        <v>0</v>
      </c>
      <c r="K310" s="900">
        <f>SUM(K307:K309)</f>
        <v>0</v>
      </c>
      <c r="L310" s="901"/>
      <c r="N310" s="899">
        <f>SUM(N307:N309)</f>
        <v>0</v>
      </c>
    </row>
    <row r="311" spans="2:15" x14ac:dyDescent="0.25">
      <c r="M311" s="610"/>
    </row>
    <row r="312" spans="2:15" ht="13" x14ac:dyDescent="0.3">
      <c r="B312" s="18" t="s">
        <v>362</v>
      </c>
      <c r="F312" s="895">
        <v>2020</v>
      </c>
      <c r="M312" s="20"/>
    </row>
    <row r="313" spans="2:15" x14ac:dyDescent="0.25">
      <c r="M313" s="20"/>
    </row>
    <row r="314" spans="2:15" ht="78" customHeight="1" x14ac:dyDescent="0.25">
      <c r="B314" s="1060" t="s">
        <v>363</v>
      </c>
      <c r="C314" s="1061"/>
      <c r="D314" s="1061"/>
      <c r="E314" s="1062"/>
      <c r="F314" s="599"/>
      <c r="G314" s="675" t="str">
        <f>"Nog af te bouwen regulatoir saldo einde "&amp;F312-1</f>
        <v>Nog af te bouwen regulatoir saldo einde 2019</v>
      </c>
      <c r="H314" s="675" t="str">
        <f>"Afbouw oudste openstaande regulatoir saldo vanaf boekjaar "&amp;F312-3&amp;" en vroeger, door aanwending van compensatie met regulatoir saldo ontstaan over boekjaar "&amp;F312-2</f>
        <v>Afbouw oudste openstaande regulatoir saldo vanaf boekjaar 2017 en vroeger, door aanwending van compensatie met regulatoir saldo ontstaan over boekjaar 2018</v>
      </c>
      <c r="I314" s="675" t="str">
        <f>"Nog af te bouwen regulatoir saldo na compensatie einde "&amp;F312-1</f>
        <v>Nog af te bouwen regulatoir saldo na compensatie einde 2019</v>
      </c>
      <c r="J314" s="675" t="str">
        <f>"Aanwending van "&amp;IF($B$7="elektriciteit","75%",IF($B$7="gas","40%","FALSE"))&amp;" van het geaccumuleerd regulatoir saldo door te rekenen volgens de tariefmethodologie in het boekjaar "&amp;F312</f>
        <v>Aanwending van 75% van het geaccumuleerd regulatoir saldo door te rekenen volgens de tariefmethodologie in het boekjaar 2020</v>
      </c>
      <c r="K314" s="675" t="str">
        <f>"Aanwending van "&amp;IF($B$7="elektriciteit","75%",IF($B$7="gas","40%","FALSE"))&amp;" van het geaccumuleerd regulatoir saldo door te rekenen volgens de tariefmethodologie in het boekjaar "&amp;F312</f>
        <v>Aanwending van 75% van het geaccumuleerd regulatoir saldo door te rekenen volgens de tariefmethodologie in het boekjaar 2020</v>
      </c>
      <c r="L314" s="675" t="str">
        <f>"Totale afbouw over "&amp;F312</f>
        <v>Totale afbouw over 2020</v>
      </c>
      <c r="M314" s="20"/>
      <c r="N314" s="675" t="str">
        <f>"Nog af te bouwen regulatoir saldo einde "&amp;F312</f>
        <v>Nog af te bouwen regulatoir saldo einde 2020</v>
      </c>
      <c r="O314" s="610"/>
    </row>
    <row r="315" spans="2:15" ht="13" x14ac:dyDescent="0.25">
      <c r="B315" s="1057">
        <v>2015</v>
      </c>
      <c r="C315" s="1058"/>
      <c r="D315" s="1058"/>
      <c r="E315" s="1059"/>
      <c r="F315" s="896"/>
      <c r="G315" s="839">
        <f>+N307</f>
        <v>0</v>
      </c>
      <c r="H315" s="898">
        <f>IF(SIGN(G318*N310)&lt;0,IF(G315&lt;&gt;0,-SIGN(G315)*MIN(ABS(G318),ABS(G315)),0),0)</f>
        <v>0</v>
      </c>
      <c r="I315" s="839">
        <f>+G315+H315</f>
        <v>0</v>
      </c>
      <c r="J315" s="698"/>
      <c r="K315" s="897">
        <f>-MIN(ABS(I315),ABS(J319))*SIGN(I315)</f>
        <v>0</v>
      </c>
      <c r="L315" s="898">
        <f>+K315+H315</f>
        <v>0</v>
      </c>
      <c r="M315" s="20"/>
      <c r="N315" s="839">
        <f>+I315+K315</f>
        <v>0</v>
      </c>
      <c r="O315" s="610"/>
    </row>
    <row r="316" spans="2:15" ht="13" x14ac:dyDescent="0.25">
      <c r="B316" s="1057">
        <v>2016</v>
      </c>
      <c r="C316" s="1058"/>
      <c r="D316" s="1058"/>
      <c r="E316" s="1059"/>
      <c r="F316" s="896"/>
      <c r="G316" s="839">
        <f>+N308</f>
        <v>0</v>
      </c>
      <c r="H316" s="898">
        <f>IF(SIGN(G318*N310)&lt;0,IF(G316&lt;&gt;0,-SIGN(G316)*MIN(ABS(G318-H315),ABS(G316)),0),0)</f>
        <v>0</v>
      </c>
      <c r="I316" s="839">
        <f>+G316+H316</f>
        <v>0</v>
      </c>
      <c r="J316" s="698"/>
      <c r="K316" s="897">
        <f>-MIN(ABS(I316),ABS(J319-K315))*SIGN(I316)</f>
        <v>0</v>
      </c>
      <c r="L316" s="898">
        <f>+K316+H316</f>
        <v>0</v>
      </c>
      <c r="M316" s="20"/>
      <c r="N316" s="839">
        <f>+I316+K316</f>
        <v>0</v>
      </c>
      <c r="O316" s="610"/>
    </row>
    <row r="317" spans="2:15" ht="13" x14ac:dyDescent="0.25">
      <c r="B317" s="1057">
        <v>2017</v>
      </c>
      <c r="C317" s="1058"/>
      <c r="D317" s="1058">
        <v>2016</v>
      </c>
      <c r="E317" s="1059"/>
      <c r="F317" s="896"/>
      <c r="G317" s="839">
        <f>+N309</f>
        <v>0</v>
      </c>
      <c r="H317" s="898">
        <f>IF(SIGN(G318*N310)&lt;0,IF(G317&lt;&gt;0,-SIGN(G317)*MIN(ABS(G318-H315-H316),ABS(G317)),0),0)</f>
        <v>0</v>
      </c>
      <c r="I317" s="839">
        <f>+G317+H317</f>
        <v>0</v>
      </c>
      <c r="J317" s="698"/>
      <c r="K317" s="897">
        <f>-MIN(ABS(I317),ABS(J319-K315-K316))*SIGN(I317)</f>
        <v>0</v>
      </c>
      <c r="L317" s="898">
        <f>+K317+H317</f>
        <v>0</v>
      </c>
      <c r="M317" s="20"/>
      <c r="N317" s="839">
        <f>+I317+K317</f>
        <v>0</v>
      </c>
      <c r="O317" s="610"/>
    </row>
    <row r="318" spans="2:15" ht="13" x14ac:dyDescent="0.25">
      <c r="B318" s="1057">
        <v>2018</v>
      </c>
      <c r="C318" s="1058"/>
      <c r="D318" s="1058"/>
      <c r="E318" s="1059"/>
      <c r="F318" s="896"/>
      <c r="G318" s="839">
        <f>J120</f>
        <v>0</v>
      </c>
      <c r="H318" s="898">
        <f>IF(SIGN(G318*N310)&lt;0,-SUM(H315:H317),0)</f>
        <v>0</v>
      </c>
      <c r="I318" s="839">
        <f>+G318+H318</f>
        <v>0</v>
      </c>
      <c r="J318" s="698"/>
      <c r="K318" s="897">
        <f>-MIN(ABS(I318),ABS(J319-K315-K316-K317))*SIGN(I318)</f>
        <v>0</v>
      </c>
      <c r="L318" s="898">
        <f>+K318+H318</f>
        <v>0</v>
      </c>
      <c r="M318" s="20"/>
      <c r="N318" s="839">
        <f>+I318+K318</f>
        <v>0</v>
      </c>
      <c r="O318" s="610"/>
    </row>
    <row r="319" spans="2:15" s="18" customFormat="1" ht="13" x14ac:dyDescent="0.3">
      <c r="G319" s="899">
        <f>SUM(G315:G318)</f>
        <v>0</v>
      </c>
      <c r="H319" s="899">
        <f>SUM(H315:H318)</f>
        <v>0</v>
      </c>
      <c r="I319" s="899">
        <f>SUM(I315:I318)</f>
        <v>0</v>
      </c>
      <c r="J319" s="899">
        <f>-I319*IF($B$7="elektriciteit",0.75,IF($B$7="gas",0.4,"FALSE"))</f>
        <v>0</v>
      </c>
      <c r="K319" s="900">
        <f>SUM(K315:K318)</f>
        <v>0</v>
      </c>
      <c r="L319" s="900"/>
      <c r="N319" s="899">
        <f>SUM(N315:N318)</f>
        <v>0</v>
      </c>
    </row>
    <row r="322" spans="2:14" ht="13" x14ac:dyDescent="0.3">
      <c r="B322" s="18" t="s">
        <v>364</v>
      </c>
      <c r="C322" s="381"/>
      <c r="D322" s="381"/>
      <c r="E322" s="381"/>
    </row>
    <row r="323" spans="2:14" ht="13" x14ac:dyDescent="0.3">
      <c r="B323" s="18"/>
      <c r="C323" s="381"/>
      <c r="D323" s="381"/>
      <c r="E323" s="381"/>
    </row>
    <row r="324" spans="2:14" ht="13" x14ac:dyDescent="0.3">
      <c r="B324" s="864">
        <f>F292</f>
        <v>2017</v>
      </c>
      <c r="C324" s="906">
        <f>J295</f>
        <v>0</v>
      </c>
      <c r="D324" s="381"/>
      <c r="E324" s="381"/>
    </row>
    <row r="325" spans="2:14" ht="13" x14ac:dyDescent="0.3">
      <c r="B325" s="864">
        <f>F297</f>
        <v>2018</v>
      </c>
      <c r="C325" s="906">
        <f>K302</f>
        <v>0</v>
      </c>
      <c r="D325" s="381"/>
      <c r="E325" s="381"/>
    </row>
    <row r="326" spans="2:14" ht="13" x14ac:dyDescent="0.3">
      <c r="B326" s="864">
        <f>F304</f>
        <v>2019</v>
      </c>
      <c r="C326" s="906">
        <f>K310</f>
        <v>0</v>
      </c>
      <c r="D326" s="381"/>
      <c r="E326" s="381"/>
    </row>
    <row r="327" spans="2:14" ht="13" x14ac:dyDescent="0.3">
      <c r="B327" s="864">
        <f>F312</f>
        <v>2020</v>
      </c>
      <c r="C327" s="906">
        <f>K319</f>
        <v>0</v>
      </c>
      <c r="D327" s="381"/>
      <c r="E327" s="381"/>
    </row>
    <row r="328" spans="2:14" x14ac:dyDescent="0.25">
      <c r="M328" s="610"/>
    </row>
    <row r="329" spans="2:14" x14ac:dyDescent="0.25">
      <c r="M329" s="610"/>
    </row>
    <row r="330" spans="2:14" ht="13" x14ac:dyDescent="0.3">
      <c r="B330" s="902" t="s">
        <v>237</v>
      </c>
      <c r="C330" s="903"/>
      <c r="D330" s="903"/>
      <c r="E330" s="903"/>
      <c r="F330" s="904"/>
      <c r="G330" s="904"/>
      <c r="H330" s="904"/>
      <c r="I330" s="904"/>
      <c r="J330" s="904"/>
      <c r="K330" s="904"/>
      <c r="L330" s="904"/>
      <c r="M330" s="905"/>
      <c r="N330" s="904"/>
    </row>
    <row r="331" spans="2:14" x14ac:dyDescent="0.25">
      <c r="M331" s="610"/>
    </row>
    <row r="332" spans="2:14" ht="13" x14ac:dyDescent="0.3">
      <c r="B332" s="18" t="s">
        <v>362</v>
      </c>
      <c r="F332" s="895">
        <v>2017</v>
      </c>
      <c r="M332" s="610"/>
    </row>
    <row r="333" spans="2:14" x14ac:dyDescent="0.25">
      <c r="L333" s="610"/>
      <c r="M333" s="20"/>
    </row>
    <row r="334" spans="2:14" ht="82.5" customHeight="1" x14ac:dyDescent="0.25">
      <c r="B334" s="1060" t="s">
        <v>363</v>
      </c>
      <c r="C334" s="1061"/>
      <c r="D334" s="1061"/>
      <c r="E334" s="1062"/>
      <c r="F334" s="599"/>
      <c r="G334" s="675" t="str">
        <f>"Nog af te bouwen regulatoir saldo einde "&amp;F332-1</f>
        <v>Nog af te bouwen regulatoir saldo einde 2016</v>
      </c>
      <c r="H334" s="675" t="str">
        <f>"Afbouw oudste openstaande regulatoir saldo vanaf boekjaar "&amp;F332-3&amp;" en vroeger, door aanwending van compensatie met regulatoir saldo ontstaan over boekjaar "&amp;F332-2</f>
        <v>Afbouw oudste openstaande regulatoir saldo vanaf boekjaar 2014 en vroeger, door aanwending van compensatie met regulatoir saldo ontstaan over boekjaar 2015</v>
      </c>
      <c r="I334" s="675" t="str">
        <f>"Nog af te bouwen regulatoir saldo na compensatie einde "&amp;F332-1</f>
        <v>Nog af te bouwen regulatoir saldo na compensatie einde 2016</v>
      </c>
      <c r="J334" s="675" t="str">
        <f>"Aanwending van "&amp;IF($B$7="elektriciteit","75%",IF($B$7="gas","40%","FALSE"))&amp;" van het geaccumuleerd regulatoir saldo door te rekenen volgens de tariefmethodologie in het boekjaar "&amp;F332</f>
        <v>Aanwending van 75% van het geaccumuleerd regulatoir saldo door te rekenen volgens de tariefmethodologie in het boekjaar 2017</v>
      </c>
      <c r="K334" s="675" t="str">
        <f>"Nog af te bouwen regulatoir saldo einde "&amp;F332</f>
        <v>Nog af te bouwen regulatoir saldo einde 2017</v>
      </c>
      <c r="L334" s="610"/>
      <c r="M334" s="20"/>
    </row>
    <row r="335" spans="2:14" ht="13" x14ac:dyDescent="0.25">
      <c r="B335" s="1057">
        <v>2015</v>
      </c>
      <c r="C335" s="1058"/>
      <c r="D335" s="1058"/>
      <c r="E335" s="1059"/>
      <c r="F335" s="896"/>
      <c r="G335" s="839">
        <f>G124</f>
        <v>0</v>
      </c>
      <c r="H335" s="897">
        <v>0</v>
      </c>
      <c r="I335" s="839">
        <f>+G335+H335</f>
        <v>0</v>
      </c>
      <c r="J335" s="839">
        <f>-I335*IF($B$7="elektriciteit",0.75,IF($B$7="gas",0.4,"FALSE"))</f>
        <v>0</v>
      </c>
      <c r="K335" s="908">
        <f>+J335+G335</f>
        <v>0</v>
      </c>
      <c r="L335" s="610"/>
      <c r="M335" s="20"/>
    </row>
    <row r="336" spans="2:14" x14ac:dyDescent="0.25">
      <c r="L336" s="610"/>
      <c r="M336" s="20"/>
    </row>
    <row r="337" spans="2:15" ht="13" x14ac:dyDescent="0.3">
      <c r="B337" s="18" t="s">
        <v>362</v>
      </c>
      <c r="F337" s="895">
        <v>2018</v>
      </c>
      <c r="M337" s="610"/>
    </row>
    <row r="338" spans="2:15" x14ac:dyDescent="0.25">
      <c r="M338" s="610"/>
    </row>
    <row r="339" spans="2:15" ht="69.75" customHeight="1" x14ac:dyDescent="0.25">
      <c r="B339" s="1060" t="s">
        <v>363</v>
      </c>
      <c r="C339" s="1061"/>
      <c r="D339" s="1061"/>
      <c r="E339" s="1062"/>
      <c r="F339" s="599"/>
      <c r="G339" s="675" t="str">
        <f>"Nog af te bouwen regulatoir saldo einde "&amp;F337-1</f>
        <v>Nog af te bouwen regulatoir saldo einde 2017</v>
      </c>
      <c r="H339" s="675" t="str">
        <f>"Afbouw oudste openstaande regulatoir saldo vanaf boekjaar "&amp;F337-3&amp;" en vroeger, door aanwending van compensatie met regulatoir saldo ontstaan over boekjaar "&amp;F337-2</f>
        <v>Afbouw oudste openstaande regulatoir saldo vanaf boekjaar 2015 en vroeger, door aanwending van compensatie met regulatoir saldo ontstaan over boekjaar 2016</v>
      </c>
      <c r="I339" s="675" t="str">
        <f>"Nog af te bouwen regulatoir saldo na compensatie einde "&amp;F337-1</f>
        <v>Nog af te bouwen regulatoir saldo na compensatie einde 2017</v>
      </c>
      <c r="J339" s="675" t="str">
        <f>"Aanwending van "&amp;IF($B$7="elektriciteit","75%",IF($B$7="gas","40%","FALSE"))&amp;" van het geaccumuleerd regulatoir saldo door te rekenen volgens de tariefmethodologie in het boekjaar "&amp;F337</f>
        <v>Aanwending van 75% van het geaccumuleerd regulatoir saldo door te rekenen volgens de tariefmethodologie in het boekjaar 2018</v>
      </c>
      <c r="K339" s="675" t="str">
        <f>"Aanwending van "&amp;IF($B$7="elektriciteit","75%",IF($B$7="gas","40%","FALSE"))&amp;" van het geaccumuleerd regulatoir saldo door te rekenen volgens de tariefmethodologie in het boekjaar "&amp;F337</f>
        <v>Aanwending van 75% van het geaccumuleerd regulatoir saldo door te rekenen volgens de tariefmethodologie in het boekjaar 2018</v>
      </c>
      <c r="L339" s="675" t="str">
        <f>"Totale afbouw over "&amp;F337</f>
        <v>Totale afbouw over 2018</v>
      </c>
      <c r="M339" s="20"/>
      <c r="N339" s="675" t="str">
        <f>"Nog af te bouwen regulatoir saldo einde "&amp;F337</f>
        <v>Nog af te bouwen regulatoir saldo einde 2018</v>
      </c>
      <c r="O339" s="610"/>
    </row>
    <row r="340" spans="2:15" ht="13" x14ac:dyDescent="0.25">
      <c r="B340" s="1057">
        <v>2015</v>
      </c>
      <c r="C340" s="1058"/>
      <c r="D340" s="1058"/>
      <c r="E340" s="1059"/>
      <c r="F340" s="896"/>
      <c r="G340" s="839">
        <f>K335</f>
        <v>0</v>
      </c>
      <c r="H340" s="897">
        <f>IF(SIGN(G341*K335)&lt;0,IF(G340&lt;&gt;0,-SIGN(G340)*MIN(ABS(G341),ABS(G340)),0),0)</f>
        <v>0</v>
      </c>
      <c r="I340" s="839">
        <f>+G340+H340</f>
        <v>0</v>
      </c>
      <c r="J340" s="698"/>
      <c r="K340" s="897">
        <f>-MIN(ABS(I340),ABS(J342))*SIGN(I340)</f>
        <v>0</v>
      </c>
      <c r="L340" s="898">
        <f>+K340+H340</f>
        <v>0</v>
      </c>
      <c r="M340" s="20"/>
      <c r="N340" s="839">
        <f>+I340+K340</f>
        <v>0</v>
      </c>
      <c r="O340" s="610"/>
    </row>
    <row r="341" spans="2:15" ht="13" x14ac:dyDescent="0.25">
      <c r="B341" s="1057">
        <v>2016</v>
      </c>
      <c r="C341" s="1058"/>
      <c r="D341" s="1058"/>
      <c r="E341" s="1059"/>
      <c r="F341" s="896"/>
      <c r="G341" s="839">
        <f>H125</f>
        <v>0</v>
      </c>
      <c r="H341" s="898">
        <f>IF(SIGN(G341*K335)&lt;0,-H340,0)</f>
        <v>0</v>
      </c>
      <c r="I341" s="839">
        <f>+G341+H341</f>
        <v>0</v>
      </c>
      <c r="J341" s="698"/>
      <c r="K341" s="897">
        <f>-MIN(ABS(I341),ABS(J342-K340))*SIGN(I341)</f>
        <v>0</v>
      </c>
      <c r="L341" s="898">
        <f>+K341+H341</f>
        <v>0</v>
      </c>
      <c r="M341" s="20"/>
      <c r="N341" s="839">
        <f>+I341+K341</f>
        <v>0</v>
      </c>
      <c r="O341" s="610"/>
    </row>
    <row r="342" spans="2:15" s="18" customFormat="1" ht="13" x14ac:dyDescent="0.3">
      <c r="G342" s="899">
        <f>SUM(G340:G341)</f>
        <v>0</v>
      </c>
      <c r="H342" s="899">
        <f>SUM(H340:H341)</f>
        <v>0</v>
      </c>
      <c r="I342" s="899">
        <f>SUM(I340:I341)</f>
        <v>0</v>
      </c>
      <c r="J342" s="899">
        <f>-I342*IF($B$7="elektriciteit",0.75,IF($B$7="gas",0.4,"FALSE"))</f>
        <v>0</v>
      </c>
      <c r="K342" s="900">
        <f>SUM(K340:K341)</f>
        <v>0</v>
      </c>
      <c r="L342" s="901"/>
      <c r="N342" s="899">
        <f>SUM(N340:N341)</f>
        <v>0</v>
      </c>
    </row>
    <row r="343" spans="2:15" x14ac:dyDescent="0.25">
      <c r="M343" s="610"/>
    </row>
    <row r="344" spans="2:15" ht="13" x14ac:dyDescent="0.3">
      <c r="B344" s="18" t="s">
        <v>362</v>
      </c>
      <c r="F344" s="895">
        <v>2019</v>
      </c>
      <c r="M344" s="20"/>
    </row>
    <row r="345" spans="2:15" x14ac:dyDescent="0.25">
      <c r="M345" s="20"/>
    </row>
    <row r="346" spans="2:15" ht="75.75" customHeight="1" x14ac:dyDescent="0.25">
      <c r="B346" s="1060" t="s">
        <v>363</v>
      </c>
      <c r="C346" s="1061"/>
      <c r="D346" s="1061"/>
      <c r="E346" s="1062"/>
      <c r="F346" s="599"/>
      <c r="G346" s="675" t="str">
        <f>"Nog af te bouwen regulatoir saldo einde "&amp;F344-1</f>
        <v>Nog af te bouwen regulatoir saldo einde 2018</v>
      </c>
      <c r="H346" s="675" t="str">
        <f>"Afbouw oudste openstaande regulatoir saldo vanaf boekjaar "&amp;F344-3&amp;" en vroeger, door aanwending van compensatie met regulatoir saldo ontstaan over boekjaar "&amp;F344-2</f>
        <v>Afbouw oudste openstaande regulatoir saldo vanaf boekjaar 2016 en vroeger, door aanwending van compensatie met regulatoir saldo ontstaan over boekjaar 2017</v>
      </c>
      <c r="I346" s="675" t="str">
        <f>"Nog af te bouwen regulatoir saldo na compensatie einde "&amp;F344-1</f>
        <v>Nog af te bouwen regulatoir saldo na compensatie einde 2018</v>
      </c>
      <c r="J346" s="675" t="str">
        <f>"Aanwending van "&amp;IF($B$7="elektriciteit","75%",IF($B$7="gas","40%","FALSE"))&amp;" van het geaccumuleerd regulatoir saldo door te rekenen volgens de tariefmethodologie in het boekjaar "&amp;F344</f>
        <v>Aanwending van 75% van het geaccumuleerd regulatoir saldo door te rekenen volgens de tariefmethodologie in het boekjaar 2019</v>
      </c>
      <c r="K346" s="675" t="str">
        <f>"Aanwending van "&amp;IF($B$7="elektriciteit","75%",IF($B$7="gas","40%","FALSE"))&amp;" van het geaccumuleerd regulatoir saldo door te rekenen volgens de tariefmethodologie in het boekjaar "&amp;F344</f>
        <v>Aanwending van 75% van het geaccumuleerd regulatoir saldo door te rekenen volgens de tariefmethodologie in het boekjaar 2019</v>
      </c>
      <c r="L346" s="675" t="str">
        <f>"Totale afbouw over "&amp;F344</f>
        <v>Totale afbouw over 2019</v>
      </c>
      <c r="M346" s="20"/>
      <c r="N346" s="675" t="str">
        <f>"Nog af te bouwen regulatoir saldo einde "&amp;F344</f>
        <v>Nog af te bouwen regulatoir saldo einde 2019</v>
      </c>
      <c r="O346" s="610"/>
    </row>
    <row r="347" spans="2:15" ht="13" x14ac:dyDescent="0.25">
      <c r="B347" s="1057">
        <v>2015</v>
      </c>
      <c r="C347" s="1058"/>
      <c r="D347" s="1058"/>
      <c r="E347" s="1059"/>
      <c r="F347" s="896"/>
      <c r="G347" s="839">
        <f>+N340</f>
        <v>0</v>
      </c>
      <c r="H347" s="898">
        <f>IF(SIGN(G349*N342)&lt;0,IF(G347&lt;&gt;0,-SIGN(G347)*MIN(ABS(G349),ABS(G347)),0),0)</f>
        <v>0</v>
      </c>
      <c r="I347" s="839">
        <f>+G347+H347</f>
        <v>0</v>
      </c>
      <c r="J347" s="698"/>
      <c r="K347" s="897">
        <f>-MIN(ABS(I347),ABS(J350))*SIGN(I347)</f>
        <v>0</v>
      </c>
      <c r="L347" s="898">
        <f>+K347+H347</f>
        <v>0</v>
      </c>
      <c r="M347" s="20"/>
      <c r="N347" s="839">
        <f>+I347+K347</f>
        <v>0</v>
      </c>
      <c r="O347" s="610"/>
    </row>
    <row r="348" spans="2:15" ht="13" x14ac:dyDescent="0.25">
      <c r="B348" s="1057">
        <v>2016</v>
      </c>
      <c r="C348" s="1058"/>
      <c r="D348" s="1058">
        <v>2016</v>
      </c>
      <c r="E348" s="1059"/>
      <c r="F348" s="896"/>
      <c r="G348" s="839">
        <f>+N341</f>
        <v>0</v>
      </c>
      <c r="H348" s="898">
        <f>IF(SIGN(G349*N342)&lt;0,IF(G348&lt;&gt;0,-SIGN(G348)*MIN(ABS(G349-H347),ABS(G348)),0),0)</f>
        <v>0</v>
      </c>
      <c r="I348" s="839">
        <f>+G348+H348</f>
        <v>0</v>
      </c>
      <c r="J348" s="698"/>
      <c r="K348" s="897">
        <f>-MIN(ABS(I348),ABS(J350-K347))*SIGN(I348)</f>
        <v>0</v>
      </c>
      <c r="L348" s="898">
        <f>+K348+H348</f>
        <v>0</v>
      </c>
      <c r="M348" s="20"/>
      <c r="N348" s="839">
        <f>+I348+K348</f>
        <v>0</v>
      </c>
      <c r="O348" s="610"/>
    </row>
    <row r="349" spans="2:15" ht="13" x14ac:dyDescent="0.25">
      <c r="B349" s="1057">
        <v>2017</v>
      </c>
      <c r="C349" s="1058"/>
      <c r="D349" s="1058"/>
      <c r="E349" s="1059"/>
      <c r="F349" s="896"/>
      <c r="G349" s="839">
        <f>I126</f>
        <v>0</v>
      </c>
      <c r="H349" s="898">
        <f>IF(SIGN(G349*N342)&lt;0,-SUM(H347:H348),0)</f>
        <v>0</v>
      </c>
      <c r="I349" s="839">
        <f>+G349+H349</f>
        <v>0</v>
      </c>
      <c r="J349" s="698"/>
      <c r="K349" s="897">
        <f>-MIN(ABS(I349),ABS(J350-K347-K348))*SIGN(I349)</f>
        <v>0</v>
      </c>
      <c r="L349" s="898">
        <f>+K349+H349</f>
        <v>0</v>
      </c>
      <c r="M349" s="20"/>
      <c r="N349" s="839">
        <f>+I349+K349</f>
        <v>0</v>
      </c>
      <c r="O349" s="610"/>
    </row>
    <row r="350" spans="2:15" s="18" customFormat="1" ht="13" x14ac:dyDescent="0.3">
      <c r="G350" s="899">
        <f>SUM(G347:G349)</f>
        <v>0</v>
      </c>
      <c r="H350" s="899">
        <f>SUM(H347:H349)</f>
        <v>0</v>
      </c>
      <c r="I350" s="899">
        <f>SUM(I347:I349)</f>
        <v>0</v>
      </c>
      <c r="J350" s="899">
        <f>-I350*IF($B$7="elektriciteit",0.75,IF($B$7="gas",0.4,"FALSE"))</f>
        <v>0</v>
      </c>
      <c r="K350" s="900">
        <f>SUM(K347:K349)</f>
        <v>0</v>
      </c>
      <c r="L350" s="901"/>
      <c r="N350" s="899">
        <f>SUM(N347:N349)</f>
        <v>0</v>
      </c>
    </row>
    <row r="351" spans="2:15" x14ac:dyDescent="0.25">
      <c r="M351" s="610"/>
    </row>
    <row r="352" spans="2:15" ht="13" x14ac:dyDescent="0.3">
      <c r="B352" s="18" t="s">
        <v>362</v>
      </c>
      <c r="F352" s="895">
        <v>2020</v>
      </c>
      <c r="M352" s="20"/>
    </row>
    <row r="353" spans="2:15" x14ac:dyDescent="0.25">
      <c r="M353" s="20"/>
    </row>
    <row r="354" spans="2:15" ht="78" customHeight="1" x14ac:dyDescent="0.25">
      <c r="B354" s="1060" t="s">
        <v>363</v>
      </c>
      <c r="C354" s="1061"/>
      <c r="D354" s="1061"/>
      <c r="E354" s="1062"/>
      <c r="F354" s="599"/>
      <c r="G354" s="675" t="str">
        <f>"Nog af te bouwen regulatoir saldo einde "&amp;F352-1</f>
        <v>Nog af te bouwen regulatoir saldo einde 2019</v>
      </c>
      <c r="H354" s="675" t="str">
        <f>"Afbouw oudste openstaande regulatoir saldo vanaf boekjaar "&amp;F352-3&amp;" en vroeger, door aanwending van compensatie met regulatoir saldo ontstaan over boekjaar "&amp;F352-2</f>
        <v>Afbouw oudste openstaande regulatoir saldo vanaf boekjaar 2017 en vroeger, door aanwending van compensatie met regulatoir saldo ontstaan over boekjaar 2018</v>
      </c>
      <c r="I354" s="675" t="str">
        <f>"Nog af te bouwen regulatoir saldo na compensatie einde "&amp;F352-1</f>
        <v>Nog af te bouwen regulatoir saldo na compensatie einde 2019</v>
      </c>
      <c r="J354" s="675" t="str">
        <f>"Aanwending van "&amp;IF($B$7="elektriciteit","75%",IF($B$7="gas","40%","FALSE"))&amp;" van het geaccumuleerd regulatoir saldo door te rekenen volgens de tariefmethodologie in het boekjaar "&amp;F352</f>
        <v>Aanwending van 75% van het geaccumuleerd regulatoir saldo door te rekenen volgens de tariefmethodologie in het boekjaar 2020</v>
      </c>
      <c r="K354" s="675" t="str">
        <f>"Aanwending van "&amp;IF($B$7="elektriciteit","75%",IF($B$7="gas","40%","FALSE"))&amp;" van het geaccumuleerd regulatoir saldo door te rekenen volgens de tariefmethodologie in het boekjaar "&amp;F352</f>
        <v>Aanwending van 75% van het geaccumuleerd regulatoir saldo door te rekenen volgens de tariefmethodologie in het boekjaar 2020</v>
      </c>
      <c r="L354" s="675" t="str">
        <f>"Totale afbouw over "&amp;F352</f>
        <v>Totale afbouw over 2020</v>
      </c>
      <c r="M354" s="20"/>
      <c r="N354" s="675" t="str">
        <f>"Nog af te bouwen regulatoir saldo einde "&amp;F352</f>
        <v>Nog af te bouwen regulatoir saldo einde 2020</v>
      </c>
      <c r="O354" s="610"/>
    </row>
    <row r="355" spans="2:15" ht="13" x14ac:dyDescent="0.25">
      <c r="B355" s="1057">
        <v>2015</v>
      </c>
      <c r="C355" s="1058"/>
      <c r="D355" s="1058"/>
      <c r="E355" s="1059"/>
      <c r="F355" s="896"/>
      <c r="G355" s="839">
        <f>+N347</f>
        <v>0</v>
      </c>
      <c r="H355" s="898">
        <f>IF(SIGN(G358*N350)&lt;0,IF(G355&lt;&gt;0,-SIGN(G355)*MIN(ABS(G358),ABS(G355)),0),0)</f>
        <v>0</v>
      </c>
      <c r="I355" s="839">
        <f>+G355+H355</f>
        <v>0</v>
      </c>
      <c r="J355" s="698"/>
      <c r="K355" s="897">
        <f>-MIN(ABS(I355),ABS(J359))*SIGN(I355)</f>
        <v>0</v>
      </c>
      <c r="L355" s="898">
        <f>+K355+H355</f>
        <v>0</v>
      </c>
      <c r="M355" s="20"/>
      <c r="N355" s="839">
        <f>+I355+K355</f>
        <v>0</v>
      </c>
      <c r="O355" s="610"/>
    </row>
    <row r="356" spans="2:15" ht="13" x14ac:dyDescent="0.25">
      <c r="B356" s="1057">
        <v>2016</v>
      </c>
      <c r="C356" s="1058"/>
      <c r="D356" s="1058"/>
      <c r="E356" s="1059"/>
      <c r="F356" s="896"/>
      <c r="G356" s="839">
        <f>+N348</f>
        <v>0</v>
      </c>
      <c r="H356" s="898">
        <f>IF(SIGN(G358*N350)&lt;0,IF(G356&lt;&gt;0,-SIGN(G356)*MIN(ABS(G358-H355),ABS(G356)),0),0)</f>
        <v>0</v>
      </c>
      <c r="I356" s="839">
        <f>+G356+H356</f>
        <v>0</v>
      </c>
      <c r="J356" s="698"/>
      <c r="K356" s="897">
        <f>-MIN(ABS(I356),ABS(J359-K355))*SIGN(I356)</f>
        <v>0</v>
      </c>
      <c r="L356" s="898">
        <f>+K356+H356</f>
        <v>0</v>
      </c>
      <c r="M356" s="20"/>
      <c r="N356" s="839">
        <f>+I356+K356</f>
        <v>0</v>
      </c>
      <c r="O356" s="610"/>
    </row>
    <row r="357" spans="2:15" ht="13" x14ac:dyDescent="0.25">
      <c r="B357" s="1057">
        <v>2017</v>
      </c>
      <c r="C357" s="1058"/>
      <c r="D357" s="1058">
        <v>2016</v>
      </c>
      <c r="E357" s="1059"/>
      <c r="F357" s="896"/>
      <c r="G357" s="839">
        <f>+N349</f>
        <v>0</v>
      </c>
      <c r="H357" s="898">
        <f>IF(SIGN(G358*N350)&lt;0,IF(G357&lt;&gt;0,-SIGN(G357)*MIN(ABS(G358-H355-H356),ABS(G357)),0),0)</f>
        <v>0</v>
      </c>
      <c r="I357" s="839">
        <f>+G357+H357</f>
        <v>0</v>
      </c>
      <c r="J357" s="698"/>
      <c r="K357" s="897">
        <f>-MIN(ABS(I357),ABS(J359-K355-K356))*SIGN(I357)</f>
        <v>0</v>
      </c>
      <c r="L357" s="898">
        <f>+K357+H357</f>
        <v>0</v>
      </c>
      <c r="M357" s="20"/>
      <c r="N357" s="839">
        <f>+I357+K357</f>
        <v>0</v>
      </c>
      <c r="O357" s="610"/>
    </row>
    <row r="358" spans="2:15" ht="13" x14ac:dyDescent="0.25">
      <c r="B358" s="1057">
        <v>2018</v>
      </c>
      <c r="C358" s="1058"/>
      <c r="D358" s="1058"/>
      <c r="E358" s="1059"/>
      <c r="F358" s="896"/>
      <c r="G358" s="839">
        <f>J127</f>
        <v>0</v>
      </c>
      <c r="H358" s="898">
        <f>IF(SIGN(G358*N350)&lt;0,-SUM(H355:H357),0)</f>
        <v>0</v>
      </c>
      <c r="I358" s="839">
        <f>+G358+H358</f>
        <v>0</v>
      </c>
      <c r="J358" s="698"/>
      <c r="K358" s="897">
        <f>-MIN(ABS(I358),ABS(J359-K355-K356-K357))*SIGN(I358)</f>
        <v>0</v>
      </c>
      <c r="L358" s="898">
        <f>+K358+H358</f>
        <v>0</v>
      </c>
      <c r="M358" s="20"/>
      <c r="N358" s="839">
        <f>+I358+K358</f>
        <v>0</v>
      </c>
      <c r="O358" s="610"/>
    </row>
    <row r="359" spans="2:15" s="18" customFormat="1" ht="13" x14ac:dyDescent="0.3">
      <c r="G359" s="899">
        <f>SUM(G355:G358)</f>
        <v>0</v>
      </c>
      <c r="H359" s="899">
        <f>SUM(H355:H358)</f>
        <v>0</v>
      </c>
      <c r="I359" s="899">
        <f>SUM(I355:I358)</f>
        <v>0</v>
      </c>
      <c r="J359" s="899">
        <f>-I359*IF($B$7="elektriciteit",0.75,IF($B$7="gas",0.4,"FALSE"))</f>
        <v>0</v>
      </c>
      <c r="K359" s="900">
        <f>SUM(K355:K358)</f>
        <v>0</v>
      </c>
      <c r="L359" s="900"/>
      <c r="N359" s="899">
        <f>SUM(N355:N358)</f>
        <v>0</v>
      </c>
    </row>
    <row r="362" spans="2:15" ht="13" x14ac:dyDescent="0.3">
      <c r="B362" s="18" t="s">
        <v>364</v>
      </c>
      <c r="C362" s="381"/>
      <c r="D362" s="381"/>
      <c r="E362" s="381"/>
    </row>
    <row r="363" spans="2:15" ht="13" x14ac:dyDescent="0.3">
      <c r="B363" s="18"/>
      <c r="C363" s="381"/>
      <c r="D363" s="381"/>
      <c r="E363" s="381"/>
    </row>
    <row r="364" spans="2:15" ht="13" x14ac:dyDescent="0.3">
      <c r="B364" s="864">
        <f>F332</f>
        <v>2017</v>
      </c>
      <c r="C364" s="906">
        <f>J335</f>
        <v>0</v>
      </c>
      <c r="D364" s="381"/>
      <c r="E364" s="381"/>
    </row>
    <row r="365" spans="2:15" ht="13" x14ac:dyDescent="0.3">
      <c r="B365" s="864">
        <f>F337</f>
        <v>2018</v>
      </c>
      <c r="C365" s="906">
        <f>K342</f>
        <v>0</v>
      </c>
      <c r="D365" s="381"/>
      <c r="E365" s="381"/>
    </row>
    <row r="366" spans="2:15" ht="13" x14ac:dyDescent="0.3">
      <c r="B366" s="864">
        <f>F344</f>
        <v>2019</v>
      </c>
      <c r="C366" s="906">
        <f>K350</f>
        <v>0</v>
      </c>
      <c r="D366" s="381"/>
      <c r="E366" s="381"/>
    </row>
    <row r="367" spans="2:15" ht="13" x14ac:dyDescent="0.3">
      <c r="B367" s="864">
        <f>F352</f>
        <v>2020</v>
      </c>
      <c r="C367" s="906">
        <f>K359</f>
        <v>0</v>
      </c>
      <c r="D367" s="381"/>
      <c r="E367" s="381"/>
    </row>
    <row r="368" spans="2:15" x14ac:dyDescent="0.25">
      <c r="M368" s="610"/>
    </row>
    <row r="369" spans="2:15" x14ac:dyDescent="0.25">
      <c r="M369" s="610"/>
    </row>
    <row r="370" spans="2:15" ht="13" x14ac:dyDescent="0.3">
      <c r="B370" s="902" t="s">
        <v>287</v>
      </c>
      <c r="C370" s="903"/>
      <c r="D370" s="903"/>
      <c r="E370" s="903"/>
      <c r="F370" s="904"/>
      <c r="G370" s="904"/>
      <c r="H370" s="904"/>
      <c r="I370" s="904"/>
      <c r="J370" s="904"/>
      <c r="K370" s="904"/>
      <c r="L370" s="904"/>
      <c r="M370" s="905"/>
      <c r="N370" s="904"/>
    </row>
    <row r="371" spans="2:15" x14ac:dyDescent="0.25">
      <c r="M371" s="610"/>
    </row>
    <row r="372" spans="2:15" ht="13" x14ac:dyDescent="0.3">
      <c r="B372" s="18" t="s">
        <v>362</v>
      </c>
      <c r="F372" s="895">
        <v>2017</v>
      </c>
      <c r="M372" s="610"/>
    </row>
    <row r="373" spans="2:15" x14ac:dyDescent="0.25">
      <c r="L373" s="610"/>
      <c r="M373" s="20"/>
    </row>
    <row r="374" spans="2:15" ht="82.5" customHeight="1" x14ac:dyDescent="0.25">
      <c r="B374" s="1060" t="s">
        <v>363</v>
      </c>
      <c r="C374" s="1061"/>
      <c r="D374" s="1061"/>
      <c r="E374" s="1062"/>
      <c r="F374" s="599"/>
      <c r="G374" s="675" t="str">
        <f>"Nog af te bouwen regulatoir saldo einde "&amp;F372-1</f>
        <v>Nog af te bouwen regulatoir saldo einde 2016</v>
      </c>
      <c r="H374" s="675" t="str">
        <f>"Afbouw oudste openstaande regulatoir saldo vanaf boekjaar "&amp;F372-3&amp;" en vroeger, door aanwending van compensatie met regulatoir saldo ontstaan over boekjaar "&amp;F372-2</f>
        <v>Afbouw oudste openstaande regulatoir saldo vanaf boekjaar 2014 en vroeger, door aanwending van compensatie met regulatoir saldo ontstaan over boekjaar 2015</v>
      </c>
      <c r="I374" s="675" t="str">
        <f>"Nog af te bouwen regulatoir saldo na compensatie einde "&amp;F372-1</f>
        <v>Nog af te bouwen regulatoir saldo na compensatie einde 2016</v>
      </c>
      <c r="J374" s="675" t="str">
        <f>"Aanwending van "&amp;IF($B$7="elektriciteit","75%",IF($B$7="gas","40%","FALSE"))&amp;" van het geaccumuleerd regulatoir saldo door te rekenen volgens de tariefmethodologie in het boekjaar "&amp;F372</f>
        <v>Aanwending van 75% van het geaccumuleerd regulatoir saldo door te rekenen volgens de tariefmethodologie in het boekjaar 2017</v>
      </c>
      <c r="K374" s="675" t="str">
        <f>"Nog af te bouwen regulatoir saldo einde "&amp;F372</f>
        <v>Nog af te bouwen regulatoir saldo einde 2017</v>
      </c>
      <c r="L374" s="610"/>
      <c r="M374" s="20"/>
    </row>
    <row r="375" spans="2:15" ht="13" x14ac:dyDescent="0.25">
      <c r="B375" s="1057">
        <v>2015</v>
      </c>
      <c r="C375" s="1058"/>
      <c r="D375" s="1058"/>
      <c r="E375" s="1059"/>
      <c r="F375" s="896"/>
      <c r="G375" s="839">
        <f>G131</f>
        <v>0</v>
      </c>
      <c r="H375" s="897">
        <v>0</v>
      </c>
      <c r="I375" s="839">
        <f>+G375+H375</f>
        <v>0</v>
      </c>
      <c r="J375" s="839">
        <f>-I375*IF($B$7="elektriciteit",0.75,IF($B$7="gas",0.4,"FALSE"))</f>
        <v>0</v>
      </c>
      <c r="K375" s="908">
        <f>+J375+G375</f>
        <v>0</v>
      </c>
      <c r="L375" s="610"/>
      <c r="M375" s="20"/>
    </row>
    <row r="376" spans="2:15" x14ac:dyDescent="0.25">
      <c r="L376" s="610"/>
      <c r="M376" s="20"/>
    </row>
    <row r="377" spans="2:15" ht="13" x14ac:dyDescent="0.3">
      <c r="B377" s="18" t="s">
        <v>362</v>
      </c>
      <c r="F377" s="895">
        <v>2018</v>
      </c>
      <c r="M377" s="610"/>
    </row>
    <row r="378" spans="2:15" x14ac:dyDescent="0.25">
      <c r="M378" s="610"/>
    </row>
    <row r="379" spans="2:15" ht="69.75" customHeight="1" x14ac:dyDescent="0.25">
      <c r="B379" s="1060" t="s">
        <v>363</v>
      </c>
      <c r="C379" s="1061"/>
      <c r="D379" s="1061"/>
      <c r="E379" s="1062"/>
      <c r="F379" s="599"/>
      <c r="G379" s="675" t="str">
        <f>"Nog af te bouwen regulatoir saldo einde "&amp;F377-1</f>
        <v>Nog af te bouwen regulatoir saldo einde 2017</v>
      </c>
      <c r="H379" s="675" t="str">
        <f>"Afbouw oudste openstaande regulatoir saldo vanaf boekjaar "&amp;F377-3&amp;" en vroeger, door aanwending van compensatie met regulatoir saldo ontstaan over boekjaar "&amp;F377-2</f>
        <v>Afbouw oudste openstaande regulatoir saldo vanaf boekjaar 2015 en vroeger, door aanwending van compensatie met regulatoir saldo ontstaan over boekjaar 2016</v>
      </c>
      <c r="I379" s="675" t="str">
        <f>"Nog af te bouwen regulatoir saldo na compensatie einde "&amp;F377-1</f>
        <v>Nog af te bouwen regulatoir saldo na compensatie einde 2017</v>
      </c>
      <c r="J379" s="675" t="str">
        <f>"Aanwending van "&amp;IF($B$7="elektriciteit","75%",IF($B$7="gas","40%","FALSE"))&amp;" van het geaccumuleerd regulatoir saldo door te rekenen volgens de tariefmethodologie in het boekjaar "&amp;F377</f>
        <v>Aanwending van 75% van het geaccumuleerd regulatoir saldo door te rekenen volgens de tariefmethodologie in het boekjaar 2018</v>
      </c>
      <c r="K379" s="675" t="str">
        <f>"Aanwending van "&amp;IF($B$7="elektriciteit","75%",IF($B$7="gas","40%","FALSE"))&amp;" van het geaccumuleerd regulatoir saldo door te rekenen volgens de tariefmethodologie in het boekjaar "&amp;F377</f>
        <v>Aanwending van 75% van het geaccumuleerd regulatoir saldo door te rekenen volgens de tariefmethodologie in het boekjaar 2018</v>
      </c>
      <c r="L379" s="675" t="str">
        <f>"Totale afbouw over "&amp;F377</f>
        <v>Totale afbouw over 2018</v>
      </c>
      <c r="M379" s="20"/>
      <c r="N379" s="675" t="str">
        <f>"Nog af te bouwen regulatoir saldo einde "&amp;F377</f>
        <v>Nog af te bouwen regulatoir saldo einde 2018</v>
      </c>
      <c r="O379" s="610"/>
    </row>
    <row r="380" spans="2:15" ht="13" x14ac:dyDescent="0.25">
      <c r="B380" s="1057">
        <v>2015</v>
      </c>
      <c r="C380" s="1058"/>
      <c r="D380" s="1058"/>
      <c r="E380" s="1059"/>
      <c r="F380" s="896"/>
      <c r="G380" s="839">
        <f>K375</f>
        <v>0</v>
      </c>
      <c r="H380" s="897">
        <f>IF(SIGN(G381*K375)&lt;0,IF(G380&lt;&gt;0,-SIGN(G380)*MIN(ABS(G381),ABS(G380)),0),0)</f>
        <v>0</v>
      </c>
      <c r="I380" s="839">
        <f>+G380+H380</f>
        <v>0</v>
      </c>
      <c r="J380" s="698"/>
      <c r="K380" s="897">
        <f>-MIN(ABS(I380),ABS(J382))*SIGN(I380)</f>
        <v>0</v>
      </c>
      <c r="L380" s="898">
        <f>+K380+H380</f>
        <v>0</v>
      </c>
      <c r="M380" s="20"/>
      <c r="N380" s="839">
        <f>+I380+K380</f>
        <v>0</v>
      </c>
      <c r="O380" s="610"/>
    </row>
    <row r="381" spans="2:15" ht="13" x14ac:dyDescent="0.25">
      <c r="B381" s="1057">
        <v>2016</v>
      </c>
      <c r="C381" s="1058"/>
      <c r="D381" s="1058"/>
      <c r="E381" s="1059"/>
      <c r="F381" s="896"/>
      <c r="G381" s="839">
        <f>H132</f>
        <v>0</v>
      </c>
      <c r="H381" s="898">
        <f>IF(SIGN(G381*K375)&lt;0,-H380,0)</f>
        <v>0</v>
      </c>
      <c r="I381" s="839">
        <f>+G381+H381</f>
        <v>0</v>
      </c>
      <c r="J381" s="698"/>
      <c r="K381" s="897">
        <f>-MIN(ABS(I381),ABS(J382-K380))*SIGN(I381)</f>
        <v>0</v>
      </c>
      <c r="L381" s="898">
        <f>+K381+H381</f>
        <v>0</v>
      </c>
      <c r="M381" s="20"/>
      <c r="N381" s="839">
        <f>+I381+K381</f>
        <v>0</v>
      </c>
      <c r="O381" s="610"/>
    </row>
    <row r="382" spans="2:15" s="18" customFormat="1" ht="13" x14ac:dyDescent="0.3">
      <c r="G382" s="899">
        <f>SUM(G380:G381)</f>
        <v>0</v>
      </c>
      <c r="H382" s="899">
        <f>SUM(H380:H381)</f>
        <v>0</v>
      </c>
      <c r="I382" s="899">
        <f>SUM(I380:I381)</f>
        <v>0</v>
      </c>
      <c r="J382" s="899">
        <f>-I382*IF($B$7="elektriciteit",0.75,IF($B$7="gas",0.4,"FALSE"))</f>
        <v>0</v>
      </c>
      <c r="K382" s="900">
        <f>SUM(K380:K381)</f>
        <v>0</v>
      </c>
      <c r="L382" s="901"/>
      <c r="N382" s="899">
        <f>SUM(N380:N381)</f>
        <v>0</v>
      </c>
    </row>
    <row r="383" spans="2:15" x14ac:dyDescent="0.25">
      <c r="M383" s="610"/>
    </row>
    <row r="384" spans="2:15" ht="13" x14ac:dyDescent="0.3">
      <c r="B384" s="18" t="s">
        <v>362</v>
      </c>
      <c r="F384" s="895">
        <v>2019</v>
      </c>
      <c r="M384" s="20"/>
    </row>
    <row r="385" spans="2:15" x14ac:dyDescent="0.25">
      <c r="M385" s="20"/>
    </row>
    <row r="386" spans="2:15" ht="75.75" customHeight="1" x14ac:dyDescent="0.25">
      <c r="B386" s="1060" t="s">
        <v>363</v>
      </c>
      <c r="C386" s="1061"/>
      <c r="D386" s="1061"/>
      <c r="E386" s="1062"/>
      <c r="F386" s="599"/>
      <c r="G386" s="675" t="str">
        <f>"Nog af te bouwen regulatoir saldo einde "&amp;F384-1</f>
        <v>Nog af te bouwen regulatoir saldo einde 2018</v>
      </c>
      <c r="H386" s="675" t="str">
        <f>"Afbouw oudste openstaande regulatoir saldo vanaf boekjaar "&amp;F384-3&amp;" en vroeger, door aanwending van compensatie met regulatoir saldo ontstaan over boekjaar "&amp;F384-2</f>
        <v>Afbouw oudste openstaande regulatoir saldo vanaf boekjaar 2016 en vroeger, door aanwending van compensatie met regulatoir saldo ontstaan over boekjaar 2017</v>
      </c>
      <c r="I386" s="675" t="str">
        <f>"Nog af te bouwen regulatoir saldo na compensatie einde "&amp;F384-1</f>
        <v>Nog af te bouwen regulatoir saldo na compensatie einde 2018</v>
      </c>
      <c r="J386" s="675" t="str">
        <f>"Aanwending van "&amp;IF($B$7="elektriciteit","75%",IF($B$7="gas","40%","FALSE"))&amp;" van het geaccumuleerd regulatoir saldo door te rekenen volgens de tariefmethodologie in het boekjaar "&amp;F384</f>
        <v>Aanwending van 75% van het geaccumuleerd regulatoir saldo door te rekenen volgens de tariefmethodologie in het boekjaar 2019</v>
      </c>
      <c r="K386" s="675" t="str">
        <f>"Aanwending van "&amp;IF($B$7="elektriciteit","75%",IF($B$7="gas","40%","FALSE"))&amp;" van het geaccumuleerd regulatoir saldo door te rekenen volgens de tariefmethodologie in het boekjaar "&amp;F384</f>
        <v>Aanwending van 75% van het geaccumuleerd regulatoir saldo door te rekenen volgens de tariefmethodologie in het boekjaar 2019</v>
      </c>
      <c r="L386" s="675" t="str">
        <f>"Totale afbouw over "&amp;F384</f>
        <v>Totale afbouw over 2019</v>
      </c>
      <c r="M386" s="20"/>
      <c r="N386" s="675" t="str">
        <f>"Nog af te bouwen regulatoir saldo einde "&amp;F384</f>
        <v>Nog af te bouwen regulatoir saldo einde 2019</v>
      </c>
      <c r="O386" s="610"/>
    </row>
    <row r="387" spans="2:15" ht="13" x14ac:dyDescent="0.25">
      <c r="B387" s="1057">
        <v>2015</v>
      </c>
      <c r="C387" s="1058"/>
      <c r="D387" s="1058"/>
      <c r="E387" s="1059"/>
      <c r="F387" s="896"/>
      <c r="G387" s="839">
        <f>+N380</f>
        <v>0</v>
      </c>
      <c r="H387" s="898">
        <f>IF(SIGN(G389*N382)&lt;0,IF(G387&lt;&gt;0,-SIGN(G387)*MIN(ABS(G389),ABS(G387)),0),0)</f>
        <v>0</v>
      </c>
      <c r="I387" s="839">
        <f>+G387+H387</f>
        <v>0</v>
      </c>
      <c r="J387" s="698"/>
      <c r="K387" s="897">
        <f>-MIN(ABS(I387),ABS(J390))*SIGN(I387)</f>
        <v>0</v>
      </c>
      <c r="L387" s="898">
        <f>+K387+H387</f>
        <v>0</v>
      </c>
      <c r="M387" s="20"/>
      <c r="N387" s="839">
        <f>+I387+K387</f>
        <v>0</v>
      </c>
      <c r="O387" s="610"/>
    </row>
    <row r="388" spans="2:15" ht="13" x14ac:dyDescent="0.25">
      <c r="B388" s="1057">
        <v>2016</v>
      </c>
      <c r="C388" s="1058"/>
      <c r="D388" s="1058">
        <v>2016</v>
      </c>
      <c r="E388" s="1059"/>
      <c r="F388" s="896"/>
      <c r="G388" s="839">
        <f>+N381</f>
        <v>0</v>
      </c>
      <c r="H388" s="898">
        <f>IF(SIGN(G389*N382)&lt;0,IF(G388&lt;&gt;0,-SIGN(G388)*MIN(ABS(G389-H387),ABS(G388)),0),0)</f>
        <v>0</v>
      </c>
      <c r="I388" s="839">
        <f>+G388+H388</f>
        <v>0</v>
      </c>
      <c r="J388" s="698"/>
      <c r="K388" s="897">
        <f>-MIN(ABS(I388),ABS(J390-K387))*SIGN(I388)</f>
        <v>0</v>
      </c>
      <c r="L388" s="898">
        <f>+K388+H388</f>
        <v>0</v>
      </c>
      <c r="M388" s="20"/>
      <c r="N388" s="839">
        <f>+I388+K388</f>
        <v>0</v>
      </c>
      <c r="O388" s="610"/>
    </row>
    <row r="389" spans="2:15" ht="13" x14ac:dyDescent="0.25">
      <c r="B389" s="1057">
        <v>2017</v>
      </c>
      <c r="C389" s="1058"/>
      <c r="D389" s="1058"/>
      <c r="E389" s="1059"/>
      <c r="F389" s="896"/>
      <c r="G389" s="839">
        <f>I133</f>
        <v>0</v>
      </c>
      <c r="H389" s="898">
        <f>IF(SIGN(G389*N382)&lt;0,-SUM(H387:H388),0)</f>
        <v>0</v>
      </c>
      <c r="I389" s="839">
        <f>+G389+H389</f>
        <v>0</v>
      </c>
      <c r="J389" s="698"/>
      <c r="K389" s="897">
        <f>-MIN(ABS(I389),ABS(J390-K387-K388))*SIGN(I389)</f>
        <v>0</v>
      </c>
      <c r="L389" s="898">
        <f>+K389+H389</f>
        <v>0</v>
      </c>
      <c r="M389" s="20"/>
      <c r="N389" s="839">
        <f>+I389+K389</f>
        <v>0</v>
      </c>
      <c r="O389" s="610"/>
    </row>
    <row r="390" spans="2:15" s="18" customFormat="1" ht="13" x14ac:dyDescent="0.3">
      <c r="G390" s="899">
        <f>SUM(G387:G389)</f>
        <v>0</v>
      </c>
      <c r="H390" s="899">
        <f>SUM(H387:H389)</f>
        <v>0</v>
      </c>
      <c r="I390" s="899">
        <f>SUM(I387:I389)</f>
        <v>0</v>
      </c>
      <c r="J390" s="899">
        <f>-I390*IF($B$7="elektriciteit",0.75,IF($B$7="gas",0.4,"FALSE"))</f>
        <v>0</v>
      </c>
      <c r="K390" s="900">
        <f>SUM(K387:K389)</f>
        <v>0</v>
      </c>
      <c r="L390" s="901"/>
      <c r="N390" s="899">
        <f>SUM(N387:N389)</f>
        <v>0</v>
      </c>
    </row>
    <row r="391" spans="2:15" x14ac:dyDescent="0.25">
      <c r="M391" s="610"/>
    </row>
    <row r="392" spans="2:15" ht="13" x14ac:dyDescent="0.3">
      <c r="B392" s="18" t="s">
        <v>362</v>
      </c>
      <c r="F392" s="895">
        <v>2020</v>
      </c>
      <c r="M392" s="20"/>
    </row>
    <row r="393" spans="2:15" x14ac:dyDescent="0.25">
      <c r="M393" s="20"/>
    </row>
    <row r="394" spans="2:15" ht="78" customHeight="1" x14ac:dyDescent="0.25">
      <c r="B394" s="1060" t="s">
        <v>363</v>
      </c>
      <c r="C394" s="1061"/>
      <c r="D394" s="1061"/>
      <c r="E394" s="1062"/>
      <c r="F394" s="599"/>
      <c r="G394" s="675" t="str">
        <f>"Nog af te bouwen regulatoir saldo einde "&amp;F392-1</f>
        <v>Nog af te bouwen regulatoir saldo einde 2019</v>
      </c>
      <c r="H394" s="675" t="str">
        <f>"Afbouw oudste openstaande regulatoir saldo vanaf boekjaar "&amp;F392-3&amp;" en vroeger, door aanwending van compensatie met regulatoir saldo ontstaan over boekjaar "&amp;F392-2</f>
        <v>Afbouw oudste openstaande regulatoir saldo vanaf boekjaar 2017 en vroeger, door aanwending van compensatie met regulatoir saldo ontstaan over boekjaar 2018</v>
      </c>
      <c r="I394" s="675" t="str">
        <f>"Nog af te bouwen regulatoir saldo na compensatie einde "&amp;F392-1</f>
        <v>Nog af te bouwen regulatoir saldo na compensatie einde 2019</v>
      </c>
      <c r="J394" s="675" t="str">
        <f>"Aanwending van "&amp;IF($B$7="elektriciteit","75%",IF($B$7="gas","40%","FALSE"))&amp;" van het geaccumuleerd regulatoir saldo door te rekenen volgens de tariefmethodologie in het boekjaar "&amp;F392</f>
        <v>Aanwending van 75% van het geaccumuleerd regulatoir saldo door te rekenen volgens de tariefmethodologie in het boekjaar 2020</v>
      </c>
      <c r="K394" s="675" t="str">
        <f>"Aanwending van "&amp;IF($B$7="elektriciteit","75%",IF($B$7="gas","40%","FALSE"))&amp;" van het geaccumuleerd regulatoir saldo door te rekenen volgens de tariefmethodologie in het boekjaar "&amp;F392</f>
        <v>Aanwending van 75% van het geaccumuleerd regulatoir saldo door te rekenen volgens de tariefmethodologie in het boekjaar 2020</v>
      </c>
      <c r="L394" s="675" t="str">
        <f>"Totale afbouw over "&amp;F392</f>
        <v>Totale afbouw over 2020</v>
      </c>
      <c r="M394" s="20"/>
      <c r="N394" s="675" t="str">
        <f>"Nog af te bouwen regulatoir saldo einde "&amp;F392</f>
        <v>Nog af te bouwen regulatoir saldo einde 2020</v>
      </c>
      <c r="O394" s="610"/>
    </row>
    <row r="395" spans="2:15" ht="13" x14ac:dyDescent="0.25">
      <c r="B395" s="1057">
        <v>2015</v>
      </c>
      <c r="C395" s="1058"/>
      <c r="D395" s="1058"/>
      <c r="E395" s="1059"/>
      <c r="F395" s="896"/>
      <c r="G395" s="839">
        <f>+N387</f>
        <v>0</v>
      </c>
      <c r="H395" s="898">
        <f>IF(SIGN(G398*N390)&lt;0,IF(G395&lt;&gt;0,-SIGN(G395)*MIN(ABS(G398),ABS(G395)),0),0)</f>
        <v>0</v>
      </c>
      <c r="I395" s="839">
        <f>+G395+H395</f>
        <v>0</v>
      </c>
      <c r="J395" s="698"/>
      <c r="K395" s="897">
        <f>-MIN(ABS(I395),ABS(J399))*SIGN(I395)</f>
        <v>0</v>
      </c>
      <c r="L395" s="898">
        <f>+K395+H395</f>
        <v>0</v>
      </c>
      <c r="M395" s="20"/>
      <c r="N395" s="839">
        <f>+I395+K395</f>
        <v>0</v>
      </c>
      <c r="O395" s="610"/>
    </row>
    <row r="396" spans="2:15" ht="13" x14ac:dyDescent="0.25">
      <c r="B396" s="1057">
        <v>2016</v>
      </c>
      <c r="C396" s="1058"/>
      <c r="D396" s="1058"/>
      <c r="E396" s="1059"/>
      <c r="F396" s="896"/>
      <c r="G396" s="839">
        <f>+N388</f>
        <v>0</v>
      </c>
      <c r="H396" s="898">
        <f>IF(SIGN(G398*N390)&lt;0,IF(G396&lt;&gt;0,-SIGN(G396)*MIN(ABS(G398-H395),ABS(G396)),0),0)</f>
        <v>0</v>
      </c>
      <c r="I396" s="839">
        <f>+G396+H396</f>
        <v>0</v>
      </c>
      <c r="J396" s="698"/>
      <c r="K396" s="897">
        <f>-MIN(ABS(I396),ABS(J399-K395))*SIGN(I396)</f>
        <v>0</v>
      </c>
      <c r="L396" s="898">
        <f>+K396+H396</f>
        <v>0</v>
      </c>
      <c r="M396" s="20"/>
      <c r="N396" s="839">
        <f>+I396+K396</f>
        <v>0</v>
      </c>
      <c r="O396" s="610"/>
    </row>
    <row r="397" spans="2:15" ht="13" x14ac:dyDescent="0.25">
      <c r="B397" s="1057">
        <v>2017</v>
      </c>
      <c r="C397" s="1058"/>
      <c r="D397" s="1058">
        <v>2016</v>
      </c>
      <c r="E397" s="1059"/>
      <c r="F397" s="896"/>
      <c r="G397" s="839">
        <f>+N389</f>
        <v>0</v>
      </c>
      <c r="H397" s="898">
        <f>IF(SIGN(G398*N390)&lt;0,IF(G397&lt;&gt;0,-SIGN(G397)*MIN(ABS(G398-H395-H396),ABS(G397)),0),0)</f>
        <v>0</v>
      </c>
      <c r="I397" s="839">
        <f>+G397+H397</f>
        <v>0</v>
      </c>
      <c r="J397" s="698"/>
      <c r="K397" s="897">
        <f>-MIN(ABS(I397),ABS(J399-K395-K396))*SIGN(I397)</f>
        <v>0</v>
      </c>
      <c r="L397" s="898">
        <f>+K397+H397</f>
        <v>0</v>
      </c>
      <c r="M397" s="20"/>
      <c r="N397" s="839">
        <f>+I397+K397</f>
        <v>0</v>
      </c>
      <c r="O397" s="610"/>
    </row>
    <row r="398" spans="2:15" ht="13" x14ac:dyDescent="0.25">
      <c r="B398" s="1057">
        <v>2018</v>
      </c>
      <c r="C398" s="1058"/>
      <c r="D398" s="1058"/>
      <c r="E398" s="1059"/>
      <c r="F398" s="896"/>
      <c r="G398" s="839">
        <f>J134</f>
        <v>0</v>
      </c>
      <c r="H398" s="898">
        <f>IF(SIGN(G398*N390)&lt;0,-SUM(H395:H397),0)</f>
        <v>0</v>
      </c>
      <c r="I398" s="839">
        <f>+G398+H398</f>
        <v>0</v>
      </c>
      <c r="J398" s="698"/>
      <c r="K398" s="897">
        <f>-MIN(ABS(I398),ABS(J399-K395-K396-K397))*SIGN(I398)</f>
        <v>0</v>
      </c>
      <c r="L398" s="898">
        <f>+K398+H398</f>
        <v>0</v>
      </c>
      <c r="M398" s="20"/>
      <c r="N398" s="839">
        <f>+I398+K398</f>
        <v>0</v>
      </c>
      <c r="O398" s="610"/>
    </row>
    <row r="399" spans="2:15" s="18" customFormat="1" ht="13" x14ac:dyDescent="0.3">
      <c r="G399" s="899">
        <f>SUM(G395:G398)</f>
        <v>0</v>
      </c>
      <c r="H399" s="899">
        <f>SUM(H395:H398)</f>
        <v>0</v>
      </c>
      <c r="I399" s="899">
        <f>SUM(I395:I398)</f>
        <v>0</v>
      </c>
      <c r="J399" s="899">
        <f>-I399*IF($B$7="elektriciteit",0.75,IF($B$7="gas",0.4,"FALSE"))</f>
        <v>0</v>
      </c>
      <c r="K399" s="900">
        <f>SUM(K395:K398)</f>
        <v>0</v>
      </c>
      <c r="L399" s="900"/>
      <c r="N399" s="899">
        <f>SUM(N395:N398)</f>
        <v>0</v>
      </c>
    </row>
    <row r="402" spans="2:14" ht="13" x14ac:dyDescent="0.3">
      <c r="B402" s="18" t="s">
        <v>364</v>
      </c>
      <c r="C402" s="381"/>
      <c r="D402" s="381"/>
      <c r="E402" s="381"/>
    </row>
    <row r="403" spans="2:14" ht="13" x14ac:dyDescent="0.3">
      <c r="B403" s="18"/>
      <c r="C403" s="381"/>
      <c r="D403" s="381"/>
      <c r="E403" s="381"/>
    </row>
    <row r="404" spans="2:14" ht="13" x14ac:dyDescent="0.3">
      <c r="B404" s="864">
        <f>F372</f>
        <v>2017</v>
      </c>
      <c r="C404" s="906">
        <f>J375</f>
        <v>0</v>
      </c>
      <c r="D404" s="381"/>
      <c r="E404" s="381"/>
    </row>
    <row r="405" spans="2:14" ht="13" x14ac:dyDescent="0.3">
      <c r="B405" s="864">
        <f>F377</f>
        <v>2018</v>
      </c>
      <c r="C405" s="906">
        <f>K382</f>
        <v>0</v>
      </c>
      <c r="D405" s="381"/>
      <c r="E405" s="381"/>
    </row>
    <row r="406" spans="2:14" ht="13" x14ac:dyDescent="0.3">
      <c r="B406" s="864">
        <f>F384</f>
        <v>2019</v>
      </c>
      <c r="C406" s="906">
        <f>K390</f>
        <v>0</v>
      </c>
      <c r="D406" s="381"/>
      <c r="E406" s="381"/>
    </row>
    <row r="407" spans="2:14" ht="13" x14ac:dyDescent="0.3">
      <c r="B407" s="864">
        <f>F392</f>
        <v>2020</v>
      </c>
      <c r="C407" s="906">
        <f>K399</f>
        <v>0</v>
      </c>
      <c r="D407" s="381"/>
      <c r="E407" s="381"/>
    </row>
    <row r="408" spans="2:14" x14ac:dyDescent="0.25">
      <c r="M408" s="610"/>
    </row>
    <row r="409" spans="2:14" x14ac:dyDescent="0.25">
      <c r="M409" s="610"/>
    </row>
    <row r="410" spans="2:14" ht="13" x14ac:dyDescent="0.3">
      <c r="B410" s="902" t="s">
        <v>134</v>
      </c>
      <c r="C410" s="903"/>
      <c r="D410" s="903"/>
      <c r="E410" s="903"/>
      <c r="F410" s="904"/>
      <c r="G410" s="904"/>
      <c r="H410" s="904"/>
      <c r="I410" s="904"/>
      <c r="J410" s="904"/>
      <c r="K410" s="904"/>
      <c r="L410" s="904"/>
      <c r="M410" s="905"/>
      <c r="N410" s="904"/>
    </row>
    <row r="411" spans="2:14" x14ac:dyDescent="0.25">
      <c r="M411" s="610"/>
    </row>
    <row r="412" spans="2:14" ht="13" x14ac:dyDescent="0.3">
      <c r="B412" s="18" t="s">
        <v>362</v>
      </c>
      <c r="F412" s="895">
        <v>2017</v>
      </c>
      <c r="M412" s="610"/>
    </row>
    <row r="413" spans="2:14" x14ac:dyDescent="0.25">
      <c r="L413" s="610"/>
      <c r="M413" s="20"/>
    </row>
    <row r="414" spans="2:14" ht="82.5" customHeight="1" x14ac:dyDescent="0.25">
      <c r="B414" s="1060" t="s">
        <v>363</v>
      </c>
      <c r="C414" s="1061"/>
      <c r="D414" s="1061"/>
      <c r="E414" s="1062"/>
      <c r="F414" s="599"/>
      <c r="G414" s="675" t="str">
        <f>"Nog af te bouwen regulatoir saldo einde "&amp;F412-1</f>
        <v>Nog af te bouwen regulatoir saldo einde 2016</v>
      </c>
      <c r="H414" s="675" t="str">
        <f>"Afbouw oudste openstaande regulatoir saldo vanaf boekjaar "&amp;F412-3&amp;" en vroeger, door aanwending van compensatie met regulatoir saldo ontstaan over boekjaar "&amp;F412-2</f>
        <v>Afbouw oudste openstaande regulatoir saldo vanaf boekjaar 2014 en vroeger, door aanwending van compensatie met regulatoir saldo ontstaan over boekjaar 2015</v>
      </c>
      <c r="I414" s="675" t="str">
        <f>"Nog af te bouwen regulatoir saldo na compensatie einde "&amp;F412-1</f>
        <v>Nog af te bouwen regulatoir saldo na compensatie einde 2016</v>
      </c>
      <c r="J414" s="675" t="str">
        <f>"Aanwending van "&amp;IF($B$7="elektriciteit","75%",IF($B$7="gas","40%","FALSE"))&amp;" van het geaccumuleerd regulatoir saldo door te rekenen volgens de tariefmethodologie in het boekjaar "&amp;F412</f>
        <v>Aanwending van 75% van het geaccumuleerd regulatoir saldo door te rekenen volgens de tariefmethodologie in het boekjaar 2017</v>
      </c>
      <c r="K414" s="675" t="str">
        <f>"Nog af te bouwen regulatoir saldo einde "&amp;F412</f>
        <v>Nog af te bouwen regulatoir saldo einde 2017</v>
      </c>
      <c r="L414" s="610"/>
      <c r="M414" s="20"/>
    </row>
    <row r="415" spans="2:14" ht="13" x14ac:dyDescent="0.25">
      <c r="B415" s="1057">
        <v>2015</v>
      </c>
      <c r="C415" s="1058"/>
      <c r="D415" s="1058"/>
      <c r="E415" s="1059"/>
      <c r="F415" s="896"/>
      <c r="G415" s="839">
        <f>G138</f>
        <v>0</v>
      </c>
      <c r="H415" s="897">
        <v>0</v>
      </c>
      <c r="I415" s="839">
        <f>+G415+H415</f>
        <v>0</v>
      </c>
      <c r="J415" s="839">
        <f>-I415*IF($B$7="elektriciteit",0.75,IF($B$7="gas",0.4,"FALSE"))</f>
        <v>0</v>
      </c>
      <c r="K415" s="908">
        <f>+J415+G415</f>
        <v>0</v>
      </c>
      <c r="L415" s="610"/>
      <c r="M415" s="20"/>
    </row>
    <row r="416" spans="2:14" x14ac:dyDescent="0.25">
      <c r="L416" s="610"/>
      <c r="M416" s="20"/>
    </row>
    <row r="417" spans="2:15" ht="13" x14ac:dyDescent="0.3">
      <c r="B417" s="18" t="s">
        <v>362</v>
      </c>
      <c r="F417" s="895">
        <v>2018</v>
      </c>
      <c r="M417" s="610"/>
    </row>
    <row r="418" spans="2:15" x14ac:dyDescent="0.25">
      <c r="M418" s="610"/>
    </row>
    <row r="419" spans="2:15" ht="69.75" customHeight="1" x14ac:dyDescent="0.25">
      <c r="B419" s="1060" t="s">
        <v>363</v>
      </c>
      <c r="C419" s="1061"/>
      <c r="D419" s="1061"/>
      <c r="E419" s="1062"/>
      <c r="F419" s="599"/>
      <c r="G419" s="675" t="str">
        <f>"Nog af te bouwen regulatoir saldo einde "&amp;F417-1</f>
        <v>Nog af te bouwen regulatoir saldo einde 2017</v>
      </c>
      <c r="H419" s="675" t="str">
        <f>"Afbouw oudste openstaande regulatoir saldo vanaf boekjaar "&amp;F417-3&amp;" en vroeger, door aanwending van compensatie met regulatoir saldo ontstaan over boekjaar "&amp;F417-2</f>
        <v>Afbouw oudste openstaande regulatoir saldo vanaf boekjaar 2015 en vroeger, door aanwending van compensatie met regulatoir saldo ontstaan over boekjaar 2016</v>
      </c>
      <c r="I419" s="675" t="str">
        <f>"Nog af te bouwen regulatoir saldo na compensatie einde "&amp;F417-1</f>
        <v>Nog af te bouwen regulatoir saldo na compensatie einde 2017</v>
      </c>
      <c r="J419" s="675" t="str">
        <f>"Aanwending van "&amp;IF($B$7="elektriciteit","75%",IF($B$7="gas","40%","FALSE"))&amp;" van het geaccumuleerd regulatoir saldo door te rekenen volgens de tariefmethodologie in het boekjaar "&amp;F417</f>
        <v>Aanwending van 75% van het geaccumuleerd regulatoir saldo door te rekenen volgens de tariefmethodologie in het boekjaar 2018</v>
      </c>
      <c r="K419" s="675" t="str">
        <f>"Aanwending van "&amp;IF($B$7="elektriciteit","75%",IF($B$7="gas","40%","FALSE"))&amp;" van het geaccumuleerd regulatoir saldo door te rekenen volgens de tariefmethodologie in het boekjaar "&amp;F417</f>
        <v>Aanwending van 75% van het geaccumuleerd regulatoir saldo door te rekenen volgens de tariefmethodologie in het boekjaar 2018</v>
      </c>
      <c r="L419" s="675" t="str">
        <f>"Totale afbouw over "&amp;F417</f>
        <v>Totale afbouw over 2018</v>
      </c>
      <c r="M419" s="20"/>
      <c r="N419" s="675" t="str">
        <f>"Nog af te bouwen regulatoir saldo einde "&amp;F417</f>
        <v>Nog af te bouwen regulatoir saldo einde 2018</v>
      </c>
      <c r="O419" s="610"/>
    </row>
    <row r="420" spans="2:15" ht="13" x14ac:dyDescent="0.25">
      <c r="B420" s="1057">
        <v>2015</v>
      </c>
      <c r="C420" s="1058"/>
      <c r="D420" s="1058"/>
      <c r="E420" s="1059"/>
      <c r="F420" s="896"/>
      <c r="G420" s="839">
        <f>K415</f>
        <v>0</v>
      </c>
      <c r="H420" s="897">
        <f>IF(SIGN(G421*K415)&lt;0,IF(G420&lt;&gt;0,-SIGN(G420)*MIN(ABS(G421),ABS(G420)),0),0)</f>
        <v>0</v>
      </c>
      <c r="I420" s="839">
        <f>+G420+H420</f>
        <v>0</v>
      </c>
      <c r="J420" s="698"/>
      <c r="K420" s="897">
        <f>-MIN(ABS(I420),ABS(J422))*SIGN(I420)</f>
        <v>0</v>
      </c>
      <c r="L420" s="898">
        <f>+K420+H420</f>
        <v>0</v>
      </c>
      <c r="M420" s="20"/>
      <c r="N420" s="839">
        <f>+I420+K420</f>
        <v>0</v>
      </c>
      <c r="O420" s="610"/>
    </row>
    <row r="421" spans="2:15" ht="13" x14ac:dyDescent="0.25">
      <c r="B421" s="1057">
        <v>2016</v>
      </c>
      <c r="C421" s="1058"/>
      <c r="D421" s="1058"/>
      <c r="E421" s="1059"/>
      <c r="F421" s="896"/>
      <c r="G421" s="839">
        <f>H139</f>
        <v>0</v>
      </c>
      <c r="H421" s="898">
        <f>IF(SIGN(G421*K415)&lt;0,-H420,0)</f>
        <v>0</v>
      </c>
      <c r="I421" s="839">
        <f>+G421+H421</f>
        <v>0</v>
      </c>
      <c r="J421" s="698"/>
      <c r="K421" s="897">
        <f>-MIN(ABS(I421),ABS(J422-K420))*SIGN(I421)</f>
        <v>0</v>
      </c>
      <c r="L421" s="898">
        <f>+K421+H421</f>
        <v>0</v>
      </c>
      <c r="M421" s="20"/>
      <c r="N421" s="839">
        <f>+I421+K421</f>
        <v>0</v>
      </c>
      <c r="O421" s="610"/>
    </row>
    <row r="422" spans="2:15" s="18" customFormat="1" ht="13" x14ac:dyDescent="0.3">
      <c r="G422" s="899">
        <f>SUM(G420:G421)</f>
        <v>0</v>
      </c>
      <c r="H422" s="899">
        <f>SUM(H420:H421)</f>
        <v>0</v>
      </c>
      <c r="I422" s="899">
        <f>SUM(I420:I421)</f>
        <v>0</v>
      </c>
      <c r="J422" s="899">
        <f>-I422*IF($B$7="elektriciteit",0.75,IF($B$7="gas",0.4,"FALSE"))</f>
        <v>0</v>
      </c>
      <c r="K422" s="900">
        <f>SUM(K420:K421)</f>
        <v>0</v>
      </c>
      <c r="L422" s="901"/>
      <c r="N422" s="899">
        <f>SUM(N420:N421)</f>
        <v>0</v>
      </c>
    </row>
    <row r="423" spans="2:15" x14ac:dyDescent="0.25">
      <c r="M423" s="610"/>
    </row>
    <row r="424" spans="2:15" ht="13" x14ac:dyDescent="0.3">
      <c r="B424" s="18" t="s">
        <v>362</v>
      </c>
      <c r="F424" s="895">
        <v>2019</v>
      </c>
      <c r="M424" s="20"/>
    </row>
    <row r="425" spans="2:15" x14ac:dyDescent="0.25">
      <c r="M425" s="20"/>
    </row>
    <row r="426" spans="2:15" ht="75.75" customHeight="1" x14ac:dyDescent="0.25">
      <c r="B426" s="1060" t="s">
        <v>363</v>
      </c>
      <c r="C426" s="1061"/>
      <c r="D426" s="1061"/>
      <c r="E426" s="1062"/>
      <c r="F426" s="599"/>
      <c r="G426" s="675" t="str">
        <f>"Nog af te bouwen regulatoir saldo einde "&amp;F424-1</f>
        <v>Nog af te bouwen regulatoir saldo einde 2018</v>
      </c>
      <c r="H426" s="675" t="str">
        <f>"Afbouw oudste openstaande regulatoir saldo vanaf boekjaar "&amp;F424-3&amp;" en vroeger, door aanwending van compensatie met regulatoir saldo ontstaan over boekjaar "&amp;F424-2</f>
        <v>Afbouw oudste openstaande regulatoir saldo vanaf boekjaar 2016 en vroeger, door aanwending van compensatie met regulatoir saldo ontstaan over boekjaar 2017</v>
      </c>
      <c r="I426" s="675" t="str">
        <f>"Nog af te bouwen regulatoir saldo na compensatie einde "&amp;F424-1</f>
        <v>Nog af te bouwen regulatoir saldo na compensatie einde 2018</v>
      </c>
      <c r="J426" s="675" t="str">
        <f>"Aanwending van "&amp;IF($B$7="elektriciteit","75%",IF($B$7="gas","40%","FALSE"))&amp;" van het geaccumuleerd regulatoir saldo door te rekenen volgens de tariefmethodologie in het boekjaar "&amp;F424</f>
        <v>Aanwending van 75% van het geaccumuleerd regulatoir saldo door te rekenen volgens de tariefmethodologie in het boekjaar 2019</v>
      </c>
      <c r="K426" s="675" t="str">
        <f>"Aanwending van "&amp;IF($B$7="elektriciteit","75%",IF($B$7="gas","40%","FALSE"))&amp;" van het geaccumuleerd regulatoir saldo door te rekenen volgens de tariefmethodologie in het boekjaar "&amp;F424</f>
        <v>Aanwending van 75% van het geaccumuleerd regulatoir saldo door te rekenen volgens de tariefmethodologie in het boekjaar 2019</v>
      </c>
      <c r="L426" s="675" t="str">
        <f>"Totale afbouw over "&amp;F424</f>
        <v>Totale afbouw over 2019</v>
      </c>
      <c r="M426" s="20"/>
      <c r="N426" s="675" t="str">
        <f>"Nog af te bouwen regulatoir saldo einde "&amp;F424</f>
        <v>Nog af te bouwen regulatoir saldo einde 2019</v>
      </c>
      <c r="O426" s="610"/>
    </row>
    <row r="427" spans="2:15" ht="13" x14ac:dyDescent="0.25">
      <c r="B427" s="1057">
        <v>2015</v>
      </c>
      <c r="C427" s="1058"/>
      <c r="D427" s="1058"/>
      <c r="E427" s="1059"/>
      <c r="F427" s="896"/>
      <c r="G427" s="839">
        <f>+N420</f>
        <v>0</v>
      </c>
      <c r="H427" s="898">
        <f>IF(SIGN(G429*N422)&lt;0,IF(G427&lt;&gt;0,-SIGN(G427)*MIN(ABS(G429),ABS(G427)),0),0)</f>
        <v>0</v>
      </c>
      <c r="I427" s="839">
        <f>+G427+H427</f>
        <v>0</v>
      </c>
      <c r="J427" s="698"/>
      <c r="K427" s="897">
        <f>-MIN(ABS(I427),ABS(J430))*SIGN(I427)</f>
        <v>0</v>
      </c>
      <c r="L427" s="898">
        <f>+K427+H427</f>
        <v>0</v>
      </c>
      <c r="M427" s="20"/>
      <c r="N427" s="839">
        <f>+I427+K427</f>
        <v>0</v>
      </c>
      <c r="O427" s="610"/>
    </row>
    <row r="428" spans="2:15" ht="13" x14ac:dyDescent="0.25">
      <c r="B428" s="1057">
        <v>2016</v>
      </c>
      <c r="C428" s="1058"/>
      <c r="D428" s="1058">
        <v>2016</v>
      </c>
      <c r="E428" s="1059"/>
      <c r="F428" s="896"/>
      <c r="G428" s="839">
        <f>+N421</f>
        <v>0</v>
      </c>
      <c r="H428" s="898">
        <f>IF(SIGN(G429*N422)&lt;0,IF(G428&lt;&gt;0,-SIGN(G428)*MIN(ABS(G429-H427),ABS(G428)),0),0)</f>
        <v>0</v>
      </c>
      <c r="I428" s="839">
        <f>+G428+H428</f>
        <v>0</v>
      </c>
      <c r="J428" s="698"/>
      <c r="K428" s="897">
        <f>-MIN(ABS(I428),ABS(J430-K427))*SIGN(I428)</f>
        <v>0</v>
      </c>
      <c r="L428" s="898">
        <f>+K428+H428</f>
        <v>0</v>
      </c>
      <c r="M428" s="20"/>
      <c r="N428" s="839">
        <f>+I428+K428</f>
        <v>0</v>
      </c>
      <c r="O428" s="610"/>
    </row>
    <row r="429" spans="2:15" ht="13" x14ac:dyDescent="0.25">
      <c r="B429" s="1057">
        <v>2017</v>
      </c>
      <c r="C429" s="1058"/>
      <c r="D429" s="1058"/>
      <c r="E429" s="1059"/>
      <c r="F429" s="896"/>
      <c r="G429" s="839">
        <f>I140</f>
        <v>0</v>
      </c>
      <c r="H429" s="898">
        <f>IF(SIGN(G429*N422)&lt;0,-SUM(H427:H428),0)</f>
        <v>0</v>
      </c>
      <c r="I429" s="839">
        <f>+G429+H429</f>
        <v>0</v>
      </c>
      <c r="J429" s="698"/>
      <c r="K429" s="897">
        <f>-MIN(ABS(I429),ABS(J430-K427-K428))*SIGN(I429)</f>
        <v>0</v>
      </c>
      <c r="L429" s="898">
        <f>+K429+H429</f>
        <v>0</v>
      </c>
      <c r="M429" s="20"/>
      <c r="N429" s="839">
        <f>+I429+K429</f>
        <v>0</v>
      </c>
      <c r="O429" s="610"/>
    </row>
    <row r="430" spans="2:15" s="18" customFormat="1" ht="13" x14ac:dyDescent="0.3">
      <c r="G430" s="899">
        <f>SUM(G427:G429)</f>
        <v>0</v>
      </c>
      <c r="H430" s="899">
        <f>SUM(H427:H429)</f>
        <v>0</v>
      </c>
      <c r="I430" s="899">
        <f>SUM(I427:I429)</f>
        <v>0</v>
      </c>
      <c r="J430" s="899">
        <f>-I430*IF($B$7="elektriciteit",0.75,IF($B$7="gas",0.4,"FALSE"))</f>
        <v>0</v>
      </c>
      <c r="K430" s="900">
        <f>SUM(K427:K429)</f>
        <v>0</v>
      </c>
      <c r="L430" s="901"/>
      <c r="N430" s="899">
        <f>SUM(N427:N429)</f>
        <v>0</v>
      </c>
    </row>
    <row r="431" spans="2:15" x14ac:dyDescent="0.25">
      <c r="M431" s="610"/>
    </row>
    <row r="432" spans="2:15" ht="13" x14ac:dyDescent="0.3">
      <c r="B432" s="18" t="s">
        <v>362</v>
      </c>
      <c r="F432" s="895">
        <v>2020</v>
      </c>
      <c r="M432" s="20"/>
    </row>
    <row r="433" spans="2:15" x14ac:dyDescent="0.25">
      <c r="M433" s="20"/>
    </row>
    <row r="434" spans="2:15" ht="78" customHeight="1" x14ac:dyDescent="0.25">
      <c r="B434" s="1060" t="s">
        <v>363</v>
      </c>
      <c r="C434" s="1061"/>
      <c r="D434" s="1061"/>
      <c r="E434" s="1062"/>
      <c r="F434" s="599"/>
      <c r="G434" s="675" t="str">
        <f>"Nog af te bouwen regulatoir saldo einde "&amp;F432-1</f>
        <v>Nog af te bouwen regulatoir saldo einde 2019</v>
      </c>
      <c r="H434" s="675" t="str">
        <f>"Afbouw oudste openstaande regulatoir saldo vanaf boekjaar "&amp;F432-3&amp;" en vroeger, door aanwending van compensatie met regulatoir saldo ontstaan over boekjaar "&amp;F432-2</f>
        <v>Afbouw oudste openstaande regulatoir saldo vanaf boekjaar 2017 en vroeger, door aanwending van compensatie met regulatoir saldo ontstaan over boekjaar 2018</v>
      </c>
      <c r="I434" s="675" t="str">
        <f>"Nog af te bouwen regulatoir saldo na compensatie einde "&amp;F432-1</f>
        <v>Nog af te bouwen regulatoir saldo na compensatie einde 2019</v>
      </c>
      <c r="J434" s="675" t="str">
        <f>"Aanwending van "&amp;IF($B$7="elektriciteit","75%",IF($B$7="gas","40%","FALSE"))&amp;" van het geaccumuleerd regulatoir saldo door te rekenen volgens de tariefmethodologie in het boekjaar "&amp;F432</f>
        <v>Aanwending van 75% van het geaccumuleerd regulatoir saldo door te rekenen volgens de tariefmethodologie in het boekjaar 2020</v>
      </c>
      <c r="K434" s="675" t="str">
        <f>"Aanwending van "&amp;IF($B$7="elektriciteit","75%",IF($B$7="gas","40%","FALSE"))&amp;" van het geaccumuleerd regulatoir saldo door te rekenen volgens de tariefmethodologie in het boekjaar "&amp;F432</f>
        <v>Aanwending van 75% van het geaccumuleerd regulatoir saldo door te rekenen volgens de tariefmethodologie in het boekjaar 2020</v>
      </c>
      <c r="L434" s="675" t="str">
        <f>"Totale afbouw over "&amp;F432</f>
        <v>Totale afbouw over 2020</v>
      </c>
      <c r="M434" s="20"/>
      <c r="N434" s="675" t="str">
        <f>"Nog af te bouwen regulatoir saldo einde "&amp;F432</f>
        <v>Nog af te bouwen regulatoir saldo einde 2020</v>
      </c>
      <c r="O434" s="610"/>
    </row>
    <row r="435" spans="2:15" ht="13" x14ac:dyDescent="0.25">
      <c r="B435" s="1057">
        <v>2015</v>
      </c>
      <c r="C435" s="1058"/>
      <c r="D435" s="1058"/>
      <c r="E435" s="1059"/>
      <c r="F435" s="896"/>
      <c r="G435" s="839">
        <f>+N427</f>
        <v>0</v>
      </c>
      <c r="H435" s="898">
        <f>IF(SIGN(G438*N430)&lt;0,IF(G435&lt;&gt;0,-SIGN(G435)*MIN(ABS(G438),ABS(G435)),0),0)</f>
        <v>0</v>
      </c>
      <c r="I435" s="839">
        <f>+G435+H435</f>
        <v>0</v>
      </c>
      <c r="J435" s="698"/>
      <c r="K435" s="897">
        <f>-MIN(ABS(I435),ABS(J439))*SIGN(I435)</f>
        <v>0</v>
      </c>
      <c r="L435" s="898">
        <f>+K435+H435</f>
        <v>0</v>
      </c>
      <c r="M435" s="20"/>
      <c r="N435" s="839">
        <f>+I435+K435</f>
        <v>0</v>
      </c>
      <c r="O435" s="610"/>
    </row>
    <row r="436" spans="2:15" ht="13" x14ac:dyDescent="0.25">
      <c r="B436" s="1057">
        <v>2016</v>
      </c>
      <c r="C436" s="1058"/>
      <c r="D436" s="1058"/>
      <c r="E436" s="1059"/>
      <c r="F436" s="896"/>
      <c r="G436" s="839">
        <f>+N428</f>
        <v>0</v>
      </c>
      <c r="H436" s="898">
        <f>IF(SIGN(G438*N430)&lt;0,IF(G436&lt;&gt;0,-SIGN(G436)*MIN(ABS(G438-H435),ABS(G436)),0),0)</f>
        <v>0</v>
      </c>
      <c r="I436" s="839">
        <f>+G436+H436</f>
        <v>0</v>
      </c>
      <c r="J436" s="698"/>
      <c r="K436" s="897">
        <f>-MIN(ABS(I436),ABS(J439-K435))*SIGN(I436)</f>
        <v>0</v>
      </c>
      <c r="L436" s="898">
        <f>+K436+H436</f>
        <v>0</v>
      </c>
      <c r="M436" s="20"/>
      <c r="N436" s="839">
        <f>+I436+K436</f>
        <v>0</v>
      </c>
      <c r="O436" s="610"/>
    </row>
    <row r="437" spans="2:15" ht="13" x14ac:dyDescent="0.25">
      <c r="B437" s="1057">
        <v>2017</v>
      </c>
      <c r="C437" s="1058"/>
      <c r="D437" s="1058">
        <v>2016</v>
      </c>
      <c r="E437" s="1059"/>
      <c r="F437" s="896"/>
      <c r="G437" s="839">
        <f>+N429</f>
        <v>0</v>
      </c>
      <c r="H437" s="898">
        <f>IF(SIGN(G438*N430)&lt;0,IF(G437&lt;&gt;0,-SIGN(G437)*MIN(ABS(G438-H435-H436),ABS(G437)),0),0)</f>
        <v>0</v>
      </c>
      <c r="I437" s="839">
        <f>+G437+H437</f>
        <v>0</v>
      </c>
      <c r="J437" s="698"/>
      <c r="K437" s="897">
        <f>-MIN(ABS(I437),ABS(J439-K435-K436))*SIGN(I437)</f>
        <v>0</v>
      </c>
      <c r="L437" s="898">
        <f>+K437+H437</f>
        <v>0</v>
      </c>
      <c r="M437" s="20"/>
      <c r="N437" s="839">
        <f>+I437+K437</f>
        <v>0</v>
      </c>
      <c r="O437" s="610"/>
    </row>
    <row r="438" spans="2:15" ht="13" x14ac:dyDescent="0.25">
      <c r="B438" s="1057">
        <v>2018</v>
      </c>
      <c r="C438" s="1058"/>
      <c r="D438" s="1058"/>
      <c r="E438" s="1059"/>
      <c r="F438" s="896"/>
      <c r="G438" s="839">
        <f>J141</f>
        <v>0</v>
      </c>
      <c r="H438" s="898">
        <f>IF(SIGN(G438*N430)&lt;0,-SUM(H435:H437),0)</f>
        <v>0</v>
      </c>
      <c r="I438" s="839">
        <f>+G438+H438</f>
        <v>0</v>
      </c>
      <c r="J438" s="698"/>
      <c r="K438" s="897">
        <f>-MIN(ABS(I438),ABS(J439-K435-K436-K437))*SIGN(I438)</f>
        <v>0</v>
      </c>
      <c r="L438" s="898">
        <f>+K438+H438</f>
        <v>0</v>
      </c>
      <c r="M438" s="20"/>
      <c r="N438" s="839">
        <f>+I438+K438</f>
        <v>0</v>
      </c>
      <c r="O438" s="610"/>
    </row>
    <row r="439" spans="2:15" s="18" customFormat="1" ht="13" x14ac:dyDescent="0.3">
      <c r="G439" s="899">
        <f>SUM(G435:G438)</f>
        <v>0</v>
      </c>
      <c r="H439" s="899">
        <f>SUM(H435:H438)</f>
        <v>0</v>
      </c>
      <c r="I439" s="899">
        <f>SUM(I435:I438)</f>
        <v>0</v>
      </c>
      <c r="J439" s="899">
        <f>-I439*IF($B$7="elektriciteit",0.75,IF($B$7="gas",0.4,"FALSE"))</f>
        <v>0</v>
      </c>
      <c r="K439" s="900">
        <f>SUM(K435:K438)</f>
        <v>0</v>
      </c>
      <c r="L439" s="900"/>
      <c r="N439" s="899">
        <f>SUM(N435:N438)</f>
        <v>0</v>
      </c>
    </row>
    <row r="442" spans="2:15" ht="13" x14ac:dyDescent="0.3">
      <c r="B442" s="18" t="s">
        <v>364</v>
      </c>
      <c r="C442" s="381"/>
      <c r="D442" s="381"/>
      <c r="E442" s="381"/>
    </row>
    <row r="443" spans="2:15" ht="13" x14ac:dyDescent="0.3">
      <c r="B443" s="18"/>
      <c r="C443" s="381"/>
      <c r="D443" s="381"/>
      <c r="E443" s="381"/>
    </row>
    <row r="444" spans="2:15" ht="13" x14ac:dyDescent="0.3">
      <c r="B444" s="864">
        <f>F412</f>
        <v>2017</v>
      </c>
      <c r="C444" s="906">
        <f>J415</f>
        <v>0</v>
      </c>
      <c r="D444" s="381"/>
      <c r="E444" s="381"/>
    </row>
    <row r="445" spans="2:15" ht="13" x14ac:dyDescent="0.3">
      <c r="B445" s="864">
        <f>F417</f>
        <v>2018</v>
      </c>
      <c r="C445" s="906">
        <f>K422</f>
        <v>0</v>
      </c>
      <c r="D445" s="381"/>
      <c r="E445" s="381"/>
    </row>
    <row r="446" spans="2:15" ht="13" x14ac:dyDescent="0.3">
      <c r="B446" s="864">
        <f>F424</f>
        <v>2019</v>
      </c>
      <c r="C446" s="906">
        <f>K430</f>
        <v>0</v>
      </c>
      <c r="D446" s="381"/>
      <c r="E446" s="381"/>
    </row>
    <row r="447" spans="2:15" ht="13" x14ac:dyDescent="0.3">
      <c r="B447" s="864">
        <f>F432</f>
        <v>2020</v>
      </c>
      <c r="C447" s="906">
        <f>K439</f>
        <v>0</v>
      </c>
      <c r="D447" s="381"/>
      <c r="E447" s="381"/>
    </row>
    <row r="448" spans="2:15" x14ac:dyDescent="0.25">
      <c r="M448" s="610"/>
    </row>
    <row r="449" spans="13:13" x14ac:dyDescent="0.25">
      <c r="M449" s="610"/>
    </row>
    <row r="450" spans="13:13" x14ac:dyDescent="0.25">
      <c r="M450" s="610"/>
    </row>
    <row r="451" spans="13:13" x14ac:dyDescent="0.25">
      <c r="M451" s="610"/>
    </row>
    <row r="452" spans="13:13" x14ac:dyDescent="0.25">
      <c r="M452" s="610"/>
    </row>
    <row r="453" spans="13:13" x14ac:dyDescent="0.25">
      <c r="M453" s="610"/>
    </row>
  </sheetData>
  <mergeCells count="236">
    <mergeCell ref="A1:J1"/>
    <mergeCell ref="B4:E4"/>
    <mergeCell ref="B7:E7"/>
    <mergeCell ref="B13:E13"/>
    <mergeCell ref="B15:E15"/>
    <mergeCell ref="B38:E38"/>
    <mergeCell ref="B23:E23"/>
    <mergeCell ref="B24:E24"/>
    <mergeCell ref="B28:E28"/>
    <mergeCell ref="B30:E30"/>
    <mergeCell ref="B31:E31"/>
    <mergeCell ref="B32:E32"/>
    <mergeCell ref="B16:E16"/>
    <mergeCell ref="B17:E17"/>
    <mergeCell ref="B18:E18"/>
    <mergeCell ref="B19:E19"/>
    <mergeCell ref="B20:E20"/>
    <mergeCell ref="B21:E21"/>
    <mergeCell ref="B40:E40"/>
    <mergeCell ref="B41:E41"/>
    <mergeCell ref="B42:E42"/>
    <mergeCell ref="B43:E43"/>
    <mergeCell ref="B33:E33"/>
    <mergeCell ref="B34:E34"/>
    <mergeCell ref="B35:E35"/>
    <mergeCell ref="B36:E36"/>
    <mergeCell ref="B37:E37"/>
    <mergeCell ref="B39:E39"/>
    <mergeCell ref="B50:E50"/>
    <mergeCell ref="B51:E51"/>
    <mergeCell ref="B52:E52"/>
    <mergeCell ref="B53:E53"/>
    <mergeCell ref="B54:E54"/>
    <mergeCell ref="B55:E55"/>
    <mergeCell ref="B44:E44"/>
    <mergeCell ref="B45:E45"/>
    <mergeCell ref="B46:E46"/>
    <mergeCell ref="B47:E47"/>
    <mergeCell ref="B48:E48"/>
    <mergeCell ref="B49:E49"/>
    <mergeCell ref="B62:E62"/>
    <mergeCell ref="B63:E63"/>
    <mergeCell ref="B64:E64"/>
    <mergeCell ref="B65:E65"/>
    <mergeCell ref="B66:E66"/>
    <mergeCell ref="B67:E67"/>
    <mergeCell ref="B56:E56"/>
    <mergeCell ref="B57:E57"/>
    <mergeCell ref="B58:E58"/>
    <mergeCell ref="B59:E59"/>
    <mergeCell ref="B60:E60"/>
    <mergeCell ref="B61:E61"/>
    <mergeCell ref="B74:E74"/>
    <mergeCell ref="B75:E75"/>
    <mergeCell ref="B76:E76"/>
    <mergeCell ref="B77:E77"/>
    <mergeCell ref="B78:E78"/>
    <mergeCell ref="B81:E81"/>
    <mergeCell ref="B68:E68"/>
    <mergeCell ref="B69:E69"/>
    <mergeCell ref="B70:E70"/>
    <mergeCell ref="B71:E71"/>
    <mergeCell ref="B72:E72"/>
    <mergeCell ref="B73:E73"/>
    <mergeCell ref="B95:E95"/>
    <mergeCell ref="B96:E96"/>
    <mergeCell ref="B103:E103"/>
    <mergeCell ref="B104:E104"/>
    <mergeCell ref="B105:E105"/>
    <mergeCell ref="B106:E106"/>
    <mergeCell ref="B82:E82"/>
    <mergeCell ref="B83:E83"/>
    <mergeCell ref="B84:E84"/>
    <mergeCell ref="B85:E85"/>
    <mergeCell ref="B86:E86"/>
    <mergeCell ref="B102:E102"/>
    <mergeCell ref="B87:E87"/>
    <mergeCell ref="B88:E88"/>
    <mergeCell ref="B92:E92"/>
    <mergeCell ref="B94:E94"/>
    <mergeCell ref="B108:E108"/>
    <mergeCell ref="B109:E109"/>
    <mergeCell ref="B110:E110"/>
    <mergeCell ref="B111:E111"/>
    <mergeCell ref="B112:E112"/>
    <mergeCell ref="B113:E113"/>
    <mergeCell ref="B107:E107"/>
    <mergeCell ref="B97:E97"/>
    <mergeCell ref="B98:E98"/>
    <mergeCell ref="B99:E99"/>
    <mergeCell ref="B100:E100"/>
    <mergeCell ref="B101:E101"/>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46:E146"/>
    <mergeCell ref="B147:E147"/>
    <mergeCell ref="B148:E148"/>
    <mergeCell ref="B149:E149"/>
    <mergeCell ref="B150:E150"/>
    <mergeCell ref="B151:E151"/>
    <mergeCell ref="B138:E138"/>
    <mergeCell ref="B139:E139"/>
    <mergeCell ref="B140:E140"/>
    <mergeCell ref="B141:E141"/>
    <mergeCell ref="B142:E142"/>
    <mergeCell ref="B145:E145"/>
    <mergeCell ref="B162:E162"/>
    <mergeCell ref="B163:E163"/>
    <mergeCell ref="B164:E164"/>
    <mergeCell ref="B165:E165"/>
    <mergeCell ref="B167:E167"/>
    <mergeCell ref="B152:E152"/>
    <mergeCell ref="B157:E157"/>
    <mergeCell ref="B159:E159"/>
    <mergeCell ref="B160:E160"/>
    <mergeCell ref="B161:E161"/>
    <mergeCell ref="B187:E187"/>
    <mergeCell ref="B188:E188"/>
    <mergeCell ref="B189:E189"/>
    <mergeCell ref="B194:E194"/>
    <mergeCell ref="B195:E195"/>
    <mergeCell ref="B196:E196"/>
    <mergeCell ref="B174:E174"/>
    <mergeCell ref="B175:E175"/>
    <mergeCell ref="B179:E179"/>
    <mergeCell ref="B180:E180"/>
    <mergeCell ref="B181:E181"/>
    <mergeCell ref="B186:E186"/>
    <mergeCell ref="B221:E221"/>
    <mergeCell ref="B226:E226"/>
    <mergeCell ref="B227:E227"/>
    <mergeCell ref="B228:E228"/>
    <mergeCell ref="B229:E229"/>
    <mergeCell ref="B234:E234"/>
    <mergeCell ref="B197:E197"/>
    <mergeCell ref="B198:E198"/>
    <mergeCell ref="B214:E214"/>
    <mergeCell ref="B215:E215"/>
    <mergeCell ref="B219:E219"/>
    <mergeCell ref="B220:E220"/>
    <mergeCell ref="B259:E259"/>
    <mergeCell ref="B260:E260"/>
    <mergeCell ref="B261:E261"/>
    <mergeCell ref="B266:E266"/>
    <mergeCell ref="B267:E267"/>
    <mergeCell ref="B268:E268"/>
    <mergeCell ref="B235:E235"/>
    <mergeCell ref="B236:E236"/>
    <mergeCell ref="B237:E237"/>
    <mergeCell ref="B238:E238"/>
    <mergeCell ref="B254:E254"/>
    <mergeCell ref="B255:E255"/>
    <mergeCell ref="B294:E294"/>
    <mergeCell ref="B295:E295"/>
    <mergeCell ref="B299:E299"/>
    <mergeCell ref="B300:E300"/>
    <mergeCell ref="B301:E301"/>
    <mergeCell ref="B306:E306"/>
    <mergeCell ref="B269:E269"/>
    <mergeCell ref="B274:E274"/>
    <mergeCell ref="B275:E275"/>
    <mergeCell ref="B276:E276"/>
    <mergeCell ref="B277:E277"/>
    <mergeCell ref="B278:E278"/>
    <mergeCell ref="B317:E317"/>
    <mergeCell ref="B318:E318"/>
    <mergeCell ref="B334:E334"/>
    <mergeCell ref="B335:E335"/>
    <mergeCell ref="B339:E339"/>
    <mergeCell ref="B340:E340"/>
    <mergeCell ref="B307:E307"/>
    <mergeCell ref="B308:E308"/>
    <mergeCell ref="B309:E309"/>
    <mergeCell ref="B314:E314"/>
    <mergeCell ref="B315:E315"/>
    <mergeCell ref="B316:E316"/>
    <mergeCell ref="B355:E355"/>
    <mergeCell ref="B356:E356"/>
    <mergeCell ref="B357:E357"/>
    <mergeCell ref="B358:E358"/>
    <mergeCell ref="B374:E374"/>
    <mergeCell ref="B375:E375"/>
    <mergeCell ref="B341:E341"/>
    <mergeCell ref="B346:E346"/>
    <mergeCell ref="B347:E347"/>
    <mergeCell ref="B348:E348"/>
    <mergeCell ref="B349:E349"/>
    <mergeCell ref="B354:E354"/>
    <mergeCell ref="B389:E389"/>
    <mergeCell ref="B394:E394"/>
    <mergeCell ref="B395:E395"/>
    <mergeCell ref="B396:E396"/>
    <mergeCell ref="B397:E397"/>
    <mergeCell ref="B398:E398"/>
    <mergeCell ref="B379:E379"/>
    <mergeCell ref="B380:E380"/>
    <mergeCell ref="B381:E381"/>
    <mergeCell ref="B386:E386"/>
    <mergeCell ref="B387:E387"/>
    <mergeCell ref="B388:E388"/>
    <mergeCell ref="B437:E437"/>
    <mergeCell ref="B438:E438"/>
    <mergeCell ref="B427:E427"/>
    <mergeCell ref="B428:E428"/>
    <mergeCell ref="B429:E429"/>
    <mergeCell ref="B434:E434"/>
    <mergeCell ref="B435:E435"/>
    <mergeCell ref="B436:E436"/>
    <mergeCell ref="B414:E414"/>
    <mergeCell ref="B415:E415"/>
    <mergeCell ref="B419:E419"/>
    <mergeCell ref="B420:E420"/>
    <mergeCell ref="B421:E421"/>
    <mergeCell ref="B426:E426"/>
  </mergeCells>
  <conditionalFormatting sqref="B51:L64 B115:L128 B18:L19 B162:G163">
    <cfRule type="expression" dxfId="54" priority="22" stopIfTrue="1">
      <formula>$B$7="gas"</formula>
    </cfRule>
  </conditionalFormatting>
  <conditionalFormatting sqref="B20:L20 B65:L71 B129:L135 B164:G164">
    <cfRule type="expression" dxfId="53" priority="21" stopIfTrue="1">
      <formula>$B$7="elektriciteit"</formula>
    </cfRule>
  </conditionalFormatting>
  <conditionalFormatting sqref="N51:N64 N115:N128 N18:N19">
    <cfRule type="expression" dxfId="52" priority="17" stopIfTrue="1">
      <formula>$B$7="gas"</formula>
    </cfRule>
  </conditionalFormatting>
  <conditionalFormatting sqref="N20 N65:N71 N129:N135">
    <cfRule type="expression" dxfId="51" priority="16" stopIfTrue="1">
      <formula>$B$7="elektriciteit"</formula>
    </cfRule>
  </conditionalFormatting>
  <conditionalFormatting sqref="B155:J155 B156:G167 H156:J168">
    <cfRule type="expression" dxfId="50" priority="13" stopIfTrue="1">
      <formula>$E$2="ex-post"</formula>
    </cfRule>
  </conditionalFormatting>
  <conditionalFormatting sqref="B290:N367">
    <cfRule type="expression" dxfId="49" priority="2" stopIfTrue="1">
      <formula>$B$7="gas"</formula>
    </cfRule>
  </conditionalFormatting>
  <conditionalFormatting sqref="B370:N407">
    <cfRule type="expression" dxfId="48" priority="1" stopIfTrue="1">
      <formula>$B$7="elektriciteit"</formula>
    </cfRule>
  </conditionalFormatting>
  <pageMargins left="0.70866141732283472" right="0.70866141732283472" top="0.74803149606299213" bottom="0.74803149606299213" header="0.31496062992125984" footer="0.31496062992125984"/>
  <pageSetup paperSize="8" scale="27" fitToWidth="2" fitToHeight="2" orientation="portrait" r:id="rId1"/>
  <rowBreaks count="1" manualBreakCount="1">
    <brk id="88" max="13" man="1"/>
  </rowBreaks>
  <ignoredErrors>
    <ignoredError sqref="G87:J87 G15:L21 N15:N21 N31:N36 N82:N87 N38:N43 N45:N50 N52:N57 N59:N64 N66:N71 N73:N79 G84 G85:H85 G86:I86 G95 G150:K150 G149:J149 G148:I148 G147:H147 G146 K141 J140 I139 H138 G137 K134 J133 I132 H131 G130 K127 J126 I125 H124 G123 K120 J119 I118 H117 G116 J112 I111 H110 G109 K106 J105 I104 H103 G102 K99 J98 I97 H96 N143 L142 L135 L128 L121 K113 L107 G151:L151 L114 L100 G99:J99 G101:N101 G100:K100 N100 G115:N115 G114:K114 N114 N151 G108:N108 G107:K107 N107 G113:J113 L113 G122:N122 G121:K121 N121 G129:N129 G128:K128 N128 G136:N136 G135:K135 N135 G144:N145 G142:K142 N142 G143:M143 G96 I96:L96 G97:H97 J97:L97 G98:I98 K98:L98 L99 G106:J106 H102:L102 G103 I103:L103 G104:H104 J104:L104 G105:I105 K105:L105 L106 G112:I112 H109:L109 G110 I110:L110 G111:H111 J111:L111 K112:L112 G120:J120 H116:L116 G117 I117:L117 G118:H118 J118:L118 G119:I119 K119:L119 L120 G127:J127 H123:L123 G124 I124:L124 G125:H125 J125:L125 G126:I126 K126:L126 L127 G134:J134 H130:L130 G131 I131:L131 G132:H132 J132:L132 G133:I133 K133:L133 L134 G141:J141 H137:L137 G138 I138:L138 G139:H139 J139:L139 G140:I140 K140:L140 L141 L150 H146:L146 I147:L147 J148:L148 K149:L149 N95:N96 N97 N98 N99 N102 N103 N104 N105 N106 N113 N109 N110 N111 N112 N116 N117 N118 N119 N120 N123 N124 N125 N126 N127 N130 N131 N132 N133 N134 N137 N138 N139 N140 N141 N150 N146 N147 N148 N14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Blad13">
    <pageSetUpPr fitToPage="1"/>
  </sheetPr>
  <dimension ref="A1:P55"/>
  <sheetViews>
    <sheetView showGridLines="0" zoomScale="90" zoomScaleNormal="90" workbookViewId="0">
      <selection activeCell="A45" sqref="A45"/>
    </sheetView>
  </sheetViews>
  <sheetFormatPr defaultColWidth="8.81640625" defaultRowHeight="12.5" x14ac:dyDescent="0.25"/>
  <cols>
    <col min="1" max="1" width="2.81640625" style="238" customWidth="1"/>
    <col min="2" max="2" width="7.1796875" style="238" customWidth="1"/>
    <col min="3" max="3" width="32.81640625" style="238" customWidth="1"/>
    <col min="4" max="4" width="48.26953125" style="239" customWidth="1"/>
    <col min="5" max="5" width="20.453125" style="238" customWidth="1"/>
    <col min="6" max="6" width="42.54296875" style="238" customWidth="1"/>
    <col min="7" max="7" width="17.54296875" style="238" customWidth="1"/>
    <col min="8" max="8" width="26" style="238" customWidth="1"/>
    <col min="9" max="9" width="2.26953125" style="238" customWidth="1"/>
    <col min="10" max="10" width="30.1796875" style="238" customWidth="1"/>
    <col min="11" max="14" width="10.7265625" style="238" customWidth="1"/>
    <col min="15" max="15" width="10.1796875" style="238" customWidth="1"/>
    <col min="16" max="16384" width="8.81640625" style="238"/>
  </cols>
  <sheetData>
    <row r="1" spans="1:16" s="235" customFormat="1" ht="18.5" thickBot="1" x14ac:dyDescent="0.45">
      <c r="A1" s="1051" t="str">
        <f>"TABEL 5C: Werkelijke ontvangsten uit periodieke nettarieven voor exogene en endogene kosten in boekjaar "&amp;TITELBLAD!E15&amp;" (elektriciteit - afname)"</f>
        <v>TABEL 5C: Werkelijke ontvangsten uit periodieke nettarieven voor exogene en endogene kosten in boekjaar 2017 (elektriciteit - afname)</v>
      </c>
      <c r="B1" s="1052"/>
      <c r="C1" s="1052"/>
      <c r="D1" s="1052"/>
      <c r="E1" s="1052"/>
      <c r="F1" s="1052"/>
      <c r="G1" s="1052"/>
      <c r="H1" s="1052"/>
      <c r="I1" s="1052"/>
      <c r="J1" s="1053"/>
      <c r="L1" s="545" t="str">
        <f>+TITELBLAD!C12</f>
        <v>elektriciteit</v>
      </c>
    </row>
    <row r="2" spans="1:16" s="236" customFormat="1" ht="10.5" x14ac:dyDescent="0.25">
      <c r="A2" s="188"/>
      <c r="B2" s="188"/>
      <c r="C2" s="188"/>
      <c r="D2" s="188"/>
      <c r="K2" s="541"/>
      <c r="L2" s="541" t="str">
        <f>+TITELBLAD!B18</f>
        <v>Rapportering over boekjaar:</v>
      </c>
      <c r="M2" s="541"/>
      <c r="N2" s="541">
        <f>+TITELBLAD!E18</f>
        <v>2019</v>
      </c>
      <c r="O2" s="541" t="str">
        <f>+TITELBLAD!F18</f>
        <v>ex-ante</v>
      </c>
      <c r="P2" s="541"/>
    </row>
    <row r="3" spans="1:16" s="20" customFormat="1" x14ac:dyDescent="0.25">
      <c r="M3" s="394"/>
    </row>
    <row r="4" spans="1:16" s="20" customFormat="1" ht="13" x14ac:dyDescent="0.3">
      <c r="B4" s="110" t="s">
        <v>253</v>
      </c>
      <c r="M4" s="394"/>
    </row>
    <row r="5" spans="1:16" s="20" customFormat="1" x14ac:dyDescent="0.25">
      <c r="B5" s="1016" t="s">
        <v>349</v>
      </c>
      <c r="C5" s="1016"/>
      <c r="D5" s="1016"/>
      <c r="E5" s="1016"/>
      <c r="F5" s="1016"/>
      <c r="M5" s="394"/>
    </row>
    <row r="6" spans="1:16" s="20" customFormat="1" x14ac:dyDescent="0.25">
      <c r="B6" s="1016"/>
      <c r="C6" s="1016"/>
      <c r="D6" s="1016"/>
      <c r="E6" s="1016"/>
      <c r="F6" s="1016"/>
      <c r="M6" s="394"/>
    </row>
    <row r="7" spans="1:16" s="20" customFormat="1" x14ac:dyDescent="0.25">
      <c r="B7" s="1016"/>
      <c r="C7" s="1016"/>
      <c r="D7" s="1016"/>
      <c r="E7" s="1016"/>
      <c r="F7" s="1016"/>
      <c r="M7" s="394"/>
    </row>
    <row r="8" spans="1:16" s="20" customFormat="1" x14ac:dyDescent="0.25">
      <c r="B8" s="1016"/>
      <c r="C8" s="1016"/>
      <c r="D8" s="1016"/>
      <c r="E8" s="1016"/>
      <c r="F8" s="1016"/>
      <c r="M8" s="394"/>
    </row>
    <row r="9" spans="1:16" s="20" customFormat="1" x14ac:dyDescent="0.25">
      <c r="B9" s="1016"/>
      <c r="C9" s="1016"/>
      <c r="D9" s="1016"/>
      <c r="E9" s="1016"/>
      <c r="F9" s="1016"/>
      <c r="M9" s="394"/>
    </row>
    <row r="10" spans="1:16" s="20" customFormat="1" x14ac:dyDescent="0.25">
      <c r="B10" s="1016"/>
      <c r="C10" s="1016"/>
      <c r="D10" s="1016"/>
      <c r="E10" s="1016"/>
      <c r="F10" s="1016"/>
      <c r="M10" s="394"/>
    </row>
    <row r="11" spans="1:16" s="20" customFormat="1" x14ac:dyDescent="0.25">
      <c r="B11" s="1016"/>
      <c r="C11" s="1016"/>
      <c r="D11" s="1016"/>
      <c r="E11" s="1016"/>
      <c r="F11" s="1016"/>
      <c r="M11" s="394"/>
    </row>
    <row r="12" spans="1:16" s="20" customFormat="1" x14ac:dyDescent="0.25">
      <c r="B12" s="1016"/>
      <c r="C12" s="1016"/>
      <c r="D12" s="1016"/>
      <c r="E12" s="1016"/>
      <c r="F12" s="1016"/>
      <c r="M12" s="394"/>
    </row>
    <row r="13" spans="1:16" s="20" customFormat="1" x14ac:dyDescent="0.25">
      <c r="M13" s="394"/>
    </row>
    <row r="14" spans="1:16" ht="13" thickBot="1" x14ac:dyDescent="0.3">
      <c r="A14" s="237"/>
      <c r="K14" s="542"/>
      <c r="L14" s="542"/>
      <c r="M14" s="542"/>
      <c r="N14" s="541"/>
      <c r="O14" s="541"/>
      <c r="P14" s="542"/>
    </row>
    <row r="15" spans="1:16" s="245" customFormat="1" ht="75.75" customHeight="1" thickBot="1" x14ac:dyDescent="0.4">
      <c r="A15" s="782"/>
      <c r="B15" s="783"/>
      <c r="C15" s="783"/>
      <c r="D15" s="784"/>
      <c r="E15" s="240"/>
      <c r="F15" s="241" t="str">
        <f>"Totale werkelijke ontvangsten uit periodieke distributienettarieven in boekjaar "&amp;TITELBLAD!E15&amp;" (elektriciteit- afname)"</f>
        <v>Totale werkelijke ontvangsten uit periodieke distributienettarieven in boekjaar 2017 (elektriciteit- afname)</v>
      </c>
      <c r="G15" s="242" t="s">
        <v>228</v>
      </c>
      <c r="H15" s="243" t="str">
        <f>"Werkelijke ontvangsten m.b.t. endogene kosten in boekjaar "&amp;TITELBLAD!E15&amp;" (elektriciteit-afname)"</f>
        <v>Werkelijke ontvangsten m.b.t. endogene kosten in boekjaar 2017 (elektriciteit-afname)</v>
      </c>
      <c r="I15" s="244"/>
      <c r="J15" s="443" t="str">
        <f>"Werkelijke ontvangsten m.b.t. exogene kosten in boekjaar "&amp;TITELBLAD!E15&amp;" (elektriciteit-afname)"</f>
        <v>Werkelijke ontvangsten m.b.t. exogene kosten in boekjaar 2017 (elektriciteit-afname)</v>
      </c>
      <c r="K15" s="543"/>
      <c r="L15" s="543"/>
      <c r="M15" s="543"/>
      <c r="N15" s="543"/>
      <c r="O15" s="544"/>
      <c r="P15" s="544"/>
    </row>
    <row r="16" spans="1:16" s="253" customFormat="1" ht="12.75" customHeight="1" thickBot="1" x14ac:dyDescent="0.3">
      <c r="A16" s="246"/>
      <c r="B16" s="247"/>
      <c r="C16" s="247"/>
      <c r="D16" s="248"/>
      <c r="E16" s="249"/>
      <c r="F16" s="250"/>
      <c r="G16" s="251"/>
      <c r="H16" s="252"/>
      <c r="J16" s="444"/>
    </row>
    <row r="17" spans="1:10" s="258" customFormat="1" ht="16.5" customHeight="1" x14ac:dyDescent="0.3">
      <c r="A17" s="254" t="s">
        <v>148</v>
      </c>
      <c r="B17" s="255" t="s">
        <v>149</v>
      </c>
      <c r="C17" s="255"/>
      <c r="D17" s="256"/>
      <c r="E17" s="257"/>
      <c r="F17" s="492">
        <f>SUM(F18,F21,F24)</f>
        <v>0</v>
      </c>
      <c r="G17" s="493"/>
      <c r="H17" s="494">
        <f>SUM(H18,H21,H24)</f>
        <v>0</v>
      </c>
      <c r="I17" s="495"/>
      <c r="J17" s="496">
        <f>SUM(J18,J21,J24)</f>
        <v>0</v>
      </c>
    </row>
    <row r="18" spans="1:10" s="258" customFormat="1" ht="16.5" customHeight="1" x14ac:dyDescent="0.3">
      <c r="A18" s="254"/>
      <c r="B18" s="255" t="s">
        <v>150</v>
      </c>
      <c r="C18" s="255" t="s">
        <v>230</v>
      </c>
      <c r="D18" s="256"/>
      <c r="E18" s="257"/>
      <c r="F18" s="497">
        <v>0</v>
      </c>
      <c r="G18" s="649">
        <v>0</v>
      </c>
      <c r="H18" s="498">
        <f>F18*G18</f>
        <v>0</v>
      </c>
      <c r="I18" s="495"/>
      <c r="J18" s="499">
        <f>F18-H18</f>
        <v>0</v>
      </c>
    </row>
    <row r="19" spans="1:10" s="258" customFormat="1" ht="16.5" customHeight="1" x14ac:dyDescent="0.3">
      <c r="A19" s="259"/>
      <c r="B19" s="255"/>
      <c r="C19" s="255"/>
      <c r="D19" s="267"/>
      <c r="E19" s="266"/>
      <c r="F19" s="500"/>
      <c r="G19" s="501"/>
      <c r="H19" s="502"/>
      <c r="I19" s="495"/>
      <c r="J19" s="503"/>
    </row>
    <row r="20" spans="1:10" s="258" customFormat="1" ht="16.5" customHeight="1" x14ac:dyDescent="0.3">
      <c r="A20" s="259"/>
      <c r="B20" s="255"/>
      <c r="C20" s="255"/>
      <c r="D20" s="267"/>
      <c r="E20" s="266"/>
      <c r="F20" s="500"/>
      <c r="G20" s="501"/>
      <c r="H20" s="502"/>
      <c r="I20" s="495"/>
      <c r="J20" s="503"/>
    </row>
    <row r="21" spans="1:10" s="258" customFormat="1" ht="16.5" customHeight="1" x14ac:dyDescent="0.3">
      <c r="A21" s="259"/>
      <c r="B21" s="255" t="s">
        <v>151</v>
      </c>
      <c r="C21" s="255" t="s">
        <v>152</v>
      </c>
      <c r="D21" s="261"/>
      <c r="E21" s="266"/>
      <c r="F21" s="497">
        <v>0</v>
      </c>
      <c r="G21" s="649">
        <v>0</v>
      </c>
      <c r="H21" s="498">
        <f>F21*G21</f>
        <v>0</v>
      </c>
      <c r="I21" s="495"/>
      <c r="J21" s="499">
        <f>F21-H21</f>
        <v>0</v>
      </c>
    </row>
    <row r="22" spans="1:10" s="258" customFormat="1" ht="16.5" customHeight="1" x14ac:dyDescent="0.3">
      <c r="A22" s="259"/>
      <c r="B22" s="255"/>
      <c r="C22" s="264"/>
      <c r="D22" s="262"/>
      <c r="E22" s="266"/>
      <c r="F22" s="504"/>
      <c r="G22" s="505"/>
      <c r="H22" s="506"/>
      <c r="I22" s="495"/>
      <c r="J22" s="507"/>
    </row>
    <row r="23" spans="1:10" s="258" customFormat="1" ht="16.5" customHeight="1" x14ac:dyDescent="0.3">
      <c r="A23" s="259"/>
      <c r="B23" s="255"/>
      <c r="C23" s="264"/>
      <c r="D23" s="261"/>
      <c r="E23" s="266"/>
      <c r="F23" s="500"/>
      <c r="G23" s="501"/>
      <c r="H23" s="502"/>
      <c r="I23" s="495"/>
      <c r="J23" s="503"/>
    </row>
    <row r="24" spans="1:10" s="258" customFormat="1" ht="16.5" customHeight="1" x14ac:dyDescent="0.3">
      <c r="A24" s="259"/>
      <c r="B24" s="255" t="s">
        <v>153</v>
      </c>
      <c r="C24" s="255" t="s">
        <v>154</v>
      </c>
      <c r="D24" s="261"/>
      <c r="E24" s="266"/>
      <c r="F24" s="497">
        <v>0</v>
      </c>
      <c r="G24" s="649">
        <v>0</v>
      </c>
      <c r="H24" s="498">
        <f>F24*G24</f>
        <v>0</v>
      </c>
      <c r="I24" s="495"/>
      <c r="J24" s="499">
        <f>F24-H24</f>
        <v>0</v>
      </c>
    </row>
    <row r="25" spans="1:10" s="272" customFormat="1" ht="16.5" customHeight="1" x14ac:dyDescent="0.3">
      <c r="A25" s="270"/>
      <c r="B25" s="271"/>
      <c r="C25" s="268"/>
      <c r="D25" s="262"/>
      <c r="E25" s="269"/>
      <c r="F25" s="504"/>
      <c r="G25" s="505"/>
      <c r="H25" s="506"/>
      <c r="I25" s="511"/>
      <c r="J25" s="507"/>
    </row>
    <row r="26" spans="1:10" s="272" customFormat="1" ht="16.5" customHeight="1" x14ac:dyDescent="0.25">
      <c r="A26" s="270"/>
      <c r="B26" s="271"/>
      <c r="C26" s="268"/>
      <c r="D26" s="273"/>
      <c r="E26" s="269"/>
      <c r="F26" s="512"/>
      <c r="G26" s="513"/>
      <c r="H26" s="514"/>
      <c r="I26" s="511"/>
      <c r="J26" s="515"/>
    </row>
    <row r="27" spans="1:10" s="258" customFormat="1" ht="16.5" customHeight="1" x14ac:dyDescent="0.3">
      <c r="A27" s="254" t="s">
        <v>155</v>
      </c>
      <c r="B27" s="255" t="s">
        <v>156</v>
      </c>
      <c r="C27" s="255"/>
      <c r="D27" s="274"/>
      <c r="E27" s="257"/>
      <c r="F27" s="516">
        <v>0</v>
      </c>
      <c r="G27" s="650">
        <v>0</v>
      </c>
      <c r="H27" s="517">
        <f>F27*G27</f>
        <v>0</v>
      </c>
      <c r="I27" s="495"/>
      <c r="J27" s="518">
        <f>F27-H27</f>
        <v>0</v>
      </c>
    </row>
    <row r="28" spans="1:10" s="258" customFormat="1" ht="16.5" customHeight="1" x14ac:dyDescent="0.3">
      <c r="A28" s="259"/>
      <c r="B28" s="255"/>
      <c r="C28" s="1118"/>
      <c r="D28" s="1119"/>
      <c r="E28" s="275"/>
      <c r="F28" s="519"/>
      <c r="G28" s="520"/>
      <c r="H28" s="498"/>
      <c r="I28" s="495"/>
      <c r="J28" s="499"/>
    </row>
    <row r="29" spans="1:10" s="258" customFormat="1" ht="16.5" customHeight="1" x14ac:dyDescent="0.3">
      <c r="A29" s="259"/>
      <c r="B29" s="255"/>
      <c r="C29" s="1118"/>
      <c r="D29" s="1119"/>
      <c r="E29" s="275"/>
      <c r="F29" s="504"/>
      <c r="G29" s="505"/>
      <c r="H29" s="506"/>
      <c r="I29" s="495"/>
      <c r="J29" s="507"/>
    </row>
    <row r="30" spans="1:10" s="258" customFormat="1" ht="16.5" customHeight="1" x14ac:dyDescent="0.3">
      <c r="A30" s="254" t="s">
        <v>157</v>
      </c>
      <c r="B30" s="255" t="s">
        <v>158</v>
      </c>
      <c r="C30" s="255"/>
      <c r="D30" s="274"/>
      <c r="E30" s="257"/>
      <c r="F30" s="646">
        <f>SUM(F31,F33,F35)</f>
        <v>0</v>
      </c>
      <c r="G30" s="505"/>
      <c r="H30" s="517">
        <f>SUM(H31,H33,H35)</f>
        <v>0</v>
      </c>
      <c r="I30" s="495"/>
      <c r="J30" s="518">
        <f>SUM(J31,J33,J35)</f>
        <v>0</v>
      </c>
    </row>
    <row r="31" spans="1:10" s="258" customFormat="1" ht="16.5" customHeight="1" x14ac:dyDescent="0.3">
      <c r="A31" s="259"/>
      <c r="B31" s="255" t="s">
        <v>159</v>
      </c>
      <c r="C31" s="255" t="s">
        <v>160</v>
      </c>
      <c r="D31" s="265"/>
      <c r="E31" s="275"/>
      <c r="F31" s="497">
        <v>0</v>
      </c>
      <c r="G31" s="649">
        <v>0</v>
      </c>
      <c r="H31" s="498">
        <f>F31*G31</f>
        <v>0</v>
      </c>
      <c r="I31" s="495"/>
      <c r="J31" s="499">
        <f>F31-H31</f>
        <v>0</v>
      </c>
    </row>
    <row r="32" spans="1:10" s="258" customFormat="1" ht="16.5" customHeight="1" x14ac:dyDescent="0.3">
      <c r="A32" s="259"/>
      <c r="B32" s="255"/>
      <c r="C32" s="255"/>
      <c r="D32" s="262"/>
      <c r="E32" s="275"/>
      <c r="F32" s="504"/>
      <c r="G32" s="505"/>
      <c r="H32" s="506"/>
      <c r="I32" s="495"/>
      <c r="J32" s="507"/>
    </row>
    <row r="33" spans="1:14" s="258" customFormat="1" ht="16.5" customHeight="1" x14ac:dyDescent="0.3">
      <c r="A33" s="259"/>
      <c r="B33" s="255" t="s">
        <v>161</v>
      </c>
      <c r="C33" s="255" t="s">
        <v>162</v>
      </c>
      <c r="D33" s="274"/>
      <c r="E33" s="257"/>
      <c r="F33" s="497">
        <v>0</v>
      </c>
      <c r="G33" s="649">
        <v>0</v>
      </c>
      <c r="H33" s="498">
        <f>F33*G33</f>
        <v>0</v>
      </c>
      <c r="I33" s="495"/>
      <c r="J33" s="499">
        <f>F33-H33</f>
        <v>0</v>
      </c>
    </row>
    <row r="34" spans="1:14" s="258" customFormat="1" ht="16.5" customHeight="1" x14ac:dyDescent="0.3">
      <c r="A34" s="259"/>
      <c r="B34" s="255"/>
      <c r="C34" s="255"/>
      <c r="D34" s="262"/>
      <c r="E34" s="275"/>
      <c r="F34" s="504"/>
      <c r="G34" s="505"/>
      <c r="H34" s="506"/>
      <c r="I34" s="495"/>
      <c r="J34" s="507"/>
    </row>
    <row r="35" spans="1:14" s="258" customFormat="1" ht="16.5" customHeight="1" x14ac:dyDescent="0.3">
      <c r="A35" s="259"/>
      <c r="B35" s="255" t="s">
        <v>226</v>
      </c>
      <c r="C35" s="255" t="s">
        <v>225</v>
      </c>
      <c r="D35" s="274"/>
      <c r="E35" s="257"/>
      <c r="F35" s="497">
        <v>0</v>
      </c>
      <c r="G35" s="649">
        <v>0</v>
      </c>
      <c r="H35" s="498">
        <f>F35*G35</f>
        <v>0</v>
      </c>
      <c r="I35" s="495"/>
      <c r="J35" s="499">
        <f>F35-H35</f>
        <v>0</v>
      </c>
    </row>
    <row r="36" spans="1:14" s="258" customFormat="1" ht="16.5" customHeight="1" x14ac:dyDescent="0.3">
      <c r="A36" s="259"/>
      <c r="B36" s="260"/>
      <c r="C36" s="260"/>
      <c r="D36" s="262"/>
      <c r="E36" s="257"/>
      <c r="F36" s="504"/>
      <c r="G36" s="505"/>
      <c r="H36" s="506"/>
      <c r="I36" s="495"/>
      <c r="J36" s="507"/>
    </row>
    <row r="37" spans="1:14" s="258" customFormat="1" ht="16.5" customHeight="1" x14ac:dyDescent="0.25">
      <c r="A37" s="259"/>
      <c r="B37" s="260"/>
      <c r="C37" s="276"/>
      <c r="D37" s="265"/>
      <c r="E37" s="277"/>
      <c r="F37" s="508"/>
      <c r="G37" s="501"/>
      <c r="H37" s="509"/>
      <c r="I37" s="495"/>
      <c r="J37" s="510"/>
    </row>
    <row r="38" spans="1:14" s="258" customFormat="1" ht="16.5" customHeight="1" x14ac:dyDescent="0.3">
      <c r="A38" s="254" t="s">
        <v>163</v>
      </c>
      <c r="B38" s="255" t="s">
        <v>164</v>
      </c>
      <c r="C38" s="255"/>
      <c r="D38" s="265"/>
      <c r="E38" s="257"/>
      <c r="F38" s="521">
        <v>0</v>
      </c>
      <c r="G38" s="650">
        <v>0</v>
      </c>
      <c r="H38" s="522">
        <f>F38*G38</f>
        <v>0</v>
      </c>
      <c r="I38" s="495"/>
      <c r="J38" s="523">
        <f>F38-H38</f>
        <v>0</v>
      </c>
    </row>
    <row r="39" spans="1:14" s="279" customFormat="1" ht="16.5" customHeight="1" x14ac:dyDescent="0.25">
      <c r="A39" s="280"/>
      <c r="B39" s="281"/>
      <c r="C39" s="1120"/>
      <c r="D39" s="1121"/>
      <c r="E39" s="278"/>
      <c r="F39" s="524"/>
      <c r="G39" s="520"/>
      <c r="H39" s="525"/>
      <c r="I39" s="527"/>
      <c r="J39" s="526"/>
    </row>
    <row r="40" spans="1:14" s="286" customFormat="1" ht="13" x14ac:dyDescent="0.25">
      <c r="A40" s="282"/>
      <c r="B40" s="283"/>
      <c r="C40" s="284"/>
      <c r="D40" s="285"/>
      <c r="F40" s="528"/>
      <c r="G40" s="529"/>
      <c r="H40" s="530"/>
      <c r="J40" s="531"/>
    </row>
    <row r="41" spans="1:14" s="286" customFormat="1" ht="17.25" customHeight="1" x14ac:dyDescent="0.3">
      <c r="A41" s="781" t="s">
        <v>165</v>
      </c>
      <c r="B41" s="1116" t="s">
        <v>184</v>
      </c>
      <c r="C41" s="1116"/>
      <c r="D41" s="1117"/>
      <c r="F41" s="662"/>
      <c r="G41" s="663"/>
      <c r="H41" s="664"/>
      <c r="J41" s="665"/>
    </row>
    <row r="42" spans="1:14" s="258" customFormat="1" ht="16.5" customHeight="1" x14ac:dyDescent="0.3">
      <c r="A42" s="259"/>
      <c r="B42" s="260"/>
      <c r="C42" s="260"/>
      <c r="D42" s="262"/>
      <c r="E42" s="257"/>
      <c r="F42" s="504"/>
      <c r="G42" s="505"/>
      <c r="H42" s="506"/>
      <c r="I42" s="495"/>
      <c r="J42" s="507"/>
    </row>
    <row r="43" spans="1:14" s="258" customFormat="1" ht="16.5" customHeight="1" x14ac:dyDescent="0.25">
      <c r="A43" s="259"/>
      <c r="B43" s="260"/>
      <c r="C43" s="276"/>
      <c r="D43" s="265"/>
      <c r="E43" s="277"/>
      <c r="F43" s="508"/>
      <c r="G43" s="501"/>
      <c r="H43" s="509"/>
      <c r="I43" s="495"/>
      <c r="J43" s="510"/>
    </row>
    <row r="44" spans="1:14" s="258" customFormat="1" ht="16.5" customHeight="1" x14ac:dyDescent="0.3">
      <c r="A44" s="254" t="s">
        <v>361</v>
      </c>
      <c r="B44" s="255" t="s">
        <v>318</v>
      </c>
      <c r="C44" s="255"/>
      <c r="D44" s="265"/>
      <c r="E44" s="257"/>
      <c r="F44" s="521">
        <v>0</v>
      </c>
      <c r="G44" s="820">
        <v>0</v>
      </c>
      <c r="H44" s="522">
        <f>F44*G44</f>
        <v>0</v>
      </c>
      <c r="I44" s="495"/>
      <c r="J44" s="523">
        <f>F44-H44</f>
        <v>0</v>
      </c>
    </row>
    <row r="45" spans="1:14" s="286" customFormat="1" ht="13" x14ac:dyDescent="0.25">
      <c r="A45" s="282"/>
      <c r="B45" s="283"/>
      <c r="C45" s="284"/>
      <c r="D45" s="285"/>
      <c r="F45" s="528"/>
      <c r="G45" s="529"/>
      <c r="H45" s="530"/>
      <c r="J45" s="531"/>
    </row>
    <row r="46" spans="1:14" s="286" customFormat="1" ht="13.5" thickBot="1" x14ac:dyDescent="0.35">
      <c r="A46" s="282"/>
      <c r="B46" s="283"/>
      <c r="C46" s="284"/>
      <c r="D46" s="287"/>
      <c r="F46" s="532"/>
      <c r="G46" s="533"/>
      <c r="H46" s="534"/>
      <c r="J46" s="535"/>
    </row>
    <row r="47" spans="1:14" s="253" customFormat="1" ht="16.5" customHeight="1" thickBot="1" x14ac:dyDescent="0.35">
      <c r="A47" s="288"/>
      <c r="B47" s="289" t="s">
        <v>167</v>
      </c>
      <c r="C47" s="290"/>
      <c r="D47" s="291"/>
      <c r="E47" s="292"/>
      <c r="F47" s="536">
        <f>SUM(F38,F30,F27,F17,F44)</f>
        <v>0</v>
      </c>
      <c r="G47" s="537"/>
      <c r="H47" s="538">
        <f>SUM(H38,H30,H27,H17,H44)</f>
        <v>0</v>
      </c>
      <c r="I47" s="539"/>
      <c r="J47" s="540">
        <f>SUM(J38,J30,J27,J17,J44)</f>
        <v>0</v>
      </c>
    </row>
    <row r="48" spans="1:14" s="293" customFormat="1" ht="13.5" customHeight="1" x14ac:dyDescent="0.25">
      <c r="D48" s="294"/>
      <c r="E48" s="295"/>
      <c r="F48" s="296"/>
      <c r="G48" s="296"/>
      <c r="H48" s="296"/>
      <c r="I48" s="295"/>
      <c r="J48" s="295"/>
      <c r="K48" s="295"/>
      <c r="L48" s="295"/>
      <c r="M48" s="295"/>
      <c r="N48" s="297"/>
    </row>
    <row r="49" spans="2:14" s="293" customFormat="1" ht="13.5" customHeight="1" x14ac:dyDescent="0.3">
      <c r="B49" s="298"/>
      <c r="D49" s="294"/>
      <c r="E49" s="295"/>
      <c r="F49" s="299"/>
      <c r="G49" s="299"/>
      <c r="H49" s="299"/>
      <c r="I49" s="295"/>
      <c r="J49" s="295"/>
      <c r="K49" s="295"/>
      <c r="L49" s="295"/>
      <c r="M49" s="295"/>
      <c r="N49" s="295"/>
    </row>
    <row r="50" spans="2:14" s="293" customFormat="1" ht="13.5" customHeight="1" x14ac:dyDescent="0.2">
      <c r="D50" s="294"/>
      <c r="E50" s="295"/>
      <c r="F50" s="295"/>
      <c r="G50" s="295"/>
      <c r="H50" s="295"/>
      <c r="I50" s="295"/>
      <c r="J50" s="295"/>
      <c r="K50" s="295"/>
      <c r="L50" s="295"/>
      <c r="M50" s="295"/>
      <c r="N50" s="295"/>
    </row>
    <row r="51" spans="2:14" ht="13.5" customHeight="1" x14ac:dyDescent="0.25"/>
    <row r="52" spans="2:14" ht="13.5" customHeight="1" x14ac:dyDescent="0.25"/>
    <row r="53" spans="2:14" ht="13.5" customHeight="1" x14ac:dyDescent="0.25"/>
    <row r="54" spans="2:14" ht="17.25" customHeight="1" x14ac:dyDescent="0.25"/>
    <row r="55" spans="2:14" ht="17.25" customHeight="1" x14ac:dyDescent="0.25"/>
  </sheetData>
  <mergeCells count="6">
    <mergeCell ref="B41:D41"/>
    <mergeCell ref="C28:D28"/>
    <mergeCell ref="C29:D29"/>
    <mergeCell ref="C39:D39"/>
    <mergeCell ref="A1:J1"/>
    <mergeCell ref="B5:F12"/>
  </mergeCells>
  <conditionalFormatting sqref="F17:H41 J17:J41 J45:J47 F45:H47">
    <cfRule type="expression" dxfId="47" priority="3" stopIfTrue="1">
      <formula>$O$2="ex-ante"</formula>
    </cfRule>
    <cfRule type="expression" dxfId="46" priority="4" stopIfTrue="1">
      <formula>$L$1="gas"</formula>
    </cfRule>
  </conditionalFormatting>
  <conditionalFormatting sqref="F42:H44 J42:J44">
    <cfRule type="expression" dxfId="45" priority="1" stopIfTrue="1">
      <formula>$O$2="ex-ante"</formula>
    </cfRule>
    <cfRule type="expression" dxfId="44" priority="2" stopIfTrue="1">
      <formula>$L$1="gas"</formula>
    </cfRule>
  </conditionalFormatting>
  <pageMargins left="0.55118110236220474" right="0.23622047244094491" top="0.43307086614173229" bottom="0.43307086614173229" header="0.27559055118110237" footer="0.27559055118110237"/>
  <pageSetup paperSize="8" scale="85" orientation="landscape" r:id="rId1"/>
  <headerFooter scaleWithDoc="0"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pageSetUpPr fitToPage="1"/>
  </sheetPr>
  <dimension ref="A1:P44"/>
  <sheetViews>
    <sheetView zoomScale="80" zoomScaleNormal="80" workbookViewId="0">
      <selection activeCell="C23" sqref="C23"/>
    </sheetView>
  </sheetViews>
  <sheetFormatPr defaultColWidth="9.1796875" defaultRowHeight="12.5" x14ac:dyDescent="0.25"/>
  <cols>
    <col min="1" max="1" width="7.26953125" style="307" customWidth="1"/>
    <col min="2" max="2" width="7" style="307" customWidth="1"/>
    <col min="3" max="3" width="46.7265625" style="307" customWidth="1"/>
    <col min="4" max="4" width="25.7265625" style="348" bestFit="1" customWidth="1"/>
    <col min="5" max="5" width="32.453125" style="348" customWidth="1"/>
    <col min="6" max="7" width="25.7265625" style="348" customWidth="1"/>
    <col min="8" max="8" width="2" style="307" customWidth="1"/>
    <col min="9" max="9" width="24.26953125" style="307" customWidth="1"/>
    <col min="10" max="16384" width="9.1796875" style="307"/>
  </cols>
  <sheetData>
    <row r="1" spans="1:16" s="300" customFormat="1" ht="18.5" thickBot="1" x14ac:dyDescent="0.45">
      <c r="A1" s="1051" t="str">
        <f>"TABEL 5D: Werkelijke ontvangsten uit periodieke distributienettarieven voor exogene en endogene kosten in boekjaar "&amp;TITELBLAD!E15&amp;" (elektriciteit-injectie)"</f>
        <v>TABEL 5D: Werkelijke ontvangsten uit periodieke distributienettarieven voor exogene en endogene kosten in boekjaar 2017 (elektriciteit-injectie)</v>
      </c>
      <c r="B1" s="1052"/>
      <c r="C1" s="1052"/>
      <c r="D1" s="1052"/>
      <c r="E1" s="1052"/>
      <c r="F1" s="1052"/>
      <c r="G1" s="1052"/>
      <c r="H1" s="1052"/>
      <c r="I1" s="1053"/>
    </row>
    <row r="2" spans="1:16" s="303" customFormat="1" ht="10.5" x14ac:dyDescent="0.25">
      <c r="A2" s="301"/>
      <c r="B2" s="301"/>
      <c r="C2" s="301"/>
      <c r="D2" s="302"/>
      <c r="E2" s="302"/>
      <c r="F2" s="302"/>
      <c r="G2" s="302"/>
    </row>
    <row r="3" spans="1:16" s="20" customFormat="1" x14ac:dyDescent="0.25">
      <c r="M3" s="394"/>
    </row>
    <row r="4" spans="1:16" s="20" customFormat="1" ht="13" x14ac:dyDescent="0.3">
      <c r="B4" s="110" t="s">
        <v>253</v>
      </c>
      <c r="M4" s="394"/>
    </row>
    <row r="5" spans="1:16" s="20" customFormat="1" x14ac:dyDescent="0.25">
      <c r="B5" s="1016" t="s">
        <v>350</v>
      </c>
      <c r="C5" s="1016"/>
      <c r="D5" s="1016"/>
      <c r="E5" s="1016"/>
      <c r="F5" s="1016"/>
      <c r="M5" s="394"/>
    </row>
    <row r="6" spans="1:16" s="20" customFormat="1" x14ac:dyDescent="0.25">
      <c r="B6" s="1016"/>
      <c r="C6" s="1016"/>
      <c r="D6" s="1016"/>
      <c r="E6" s="1016"/>
      <c r="F6" s="1016"/>
      <c r="M6" s="394"/>
    </row>
    <row r="7" spans="1:16" s="20" customFormat="1" x14ac:dyDescent="0.25">
      <c r="B7" s="1016"/>
      <c r="C7" s="1016"/>
      <c r="D7" s="1016"/>
      <c r="E7" s="1016"/>
      <c r="F7" s="1016"/>
      <c r="M7" s="394"/>
    </row>
    <row r="8" spans="1:16" s="20" customFormat="1" x14ac:dyDescent="0.25">
      <c r="B8" s="1016"/>
      <c r="C8" s="1016"/>
      <c r="D8" s="1016"/>
      <c r="E8" s="1016"/>
      <c r="F8" s="1016"/>
      <c r="M8" s="394"/>
    </row>
    <row r="9" spans="1:16" s="20" customFormat="1" x14ac:dyDescent="0.25">
      <c r="B9" s="1016"/>
      <c r="C9" s="1016"/>
      <c r="D9" s="1016"/>
      <c r="E9" s="1016"/>
      <c r="F9" s="1016"/>
      <c r="M9" s="394"/>
    </row>
    <row r="10" spans="1:16" s="20" customFormat="1" x14ac:dyDescent="0.25">
      <c r="B10" s="1016"/>
      <c r="C10" s="1016"/>
      <c r="D10" s="1016"/>
      <c r="E10" s="1016"/>
      <c r="F10" s="1016"/>
      <c r="M10" s="394"/>
    </row>
    <row r="11" spans="1:16" s="20" customFormat="1" x14ac:dyDescent="0.25">
      <c r="B11" s="1016"/>
      <c r="C11" s="1016"/>
      <c r="D11" s="1016"/>
      <c r="E11" s="1016"/>
      <c r="F11" s="1016"/>
      <c r="M11" s="394"/>
    </row>
    <row r="12" spans="1:16" s="20" customFormat="1" x14ac:dyDescent="0.25">
      <c r="B12" s="1016"/>
      <c r="C12" s="1016"/>
      <c r="D12" s="1016"/>
      <c r="E12" s="1016"/>
      <c r="F12" s="1016"/>
      <c r="M12" s="394"/>
    </row>
    <row r="13" spans="1:16" s="20" customFormat="1" x14ac:dyDescent="0.25">
      <c r="M13" s="394"/>
    </row>
    <row r="14" spans="1:16" ht="18.5" thickBot="1" x14ac:dyDescent="0.45">
      <c r="A14" s="304"/>
      <c r="B14" s="305"/>
      <c r="C14" s="305"/>
      <c r="D14" s="306"/>
      <c r="E14" s="306"/>
      <c r="F14" s="306"/>
      <c r="G14" s="306"/>
      <c r="K14" s="546" t="str">
        <f>+TITELBLAD!B18</f>
        <v>Rapportering over boekjaar:</v>
      </c>
      <c r="L14" s="546"/>
      <c r="M14" s="546"/>
      <c r="N14" s="546">
        <f>+TITELBLAD!E18</f>
        <v>2019</v>
      </c>
      <c r="O14" s="546" t="str">
        <f>+TITELBLAD!F18</f>
        <v>ex-ante</v>
      </c>
      <c r="P14" s="305"/>
    </row>
    <row r="15" spans="1:16" s="311" customFormat="1" ht="15.5" x14ac:dyDescent="0.35">
      <c r="A15" s="308"/>
      <c r="B15" s="309"/>
      <c r="C15" s="309"/>
      <c r="D15" s="310"/>
      <c r="E15" s="1124" t="str">
        <f>"Totale werkelijke ontvangsten uit periodieke distributienettarieven in boekjaar "&amp;TITELBLAD!E15&amp;" (elektriciteit- injectie)"</f>
        <v>Totale werkelijke ontvangsten uit periodieke distributienettarieven in boekjaar 2017 (elektriciteit- injectie)</v>
      </c>
      <c r="F15" s="1127" t="s">
        <v>228</v>
      </c>
      <c r="G15" s="1127" t="str">
        <f>"Werkelijke ontvangsten m.b.t. endogene kosten in boekjaar "&amp;TITELBLAD!E15&amp;" (elektriciteit-injectie)"</f>
        <v>Werkelijke ontvangsten m.b.t. endogene kosten in boekjaar 2017 (elektriciteit-injectie)</v>
      </c>
      <c r="I15" s="1127" t="str">
        <f>"Werkelijke ontvangsten m.b.t. exogene kosten in boekjaar "&amp;TITELBLAD!E15&amp;" (elektriciteit-injectie)"</f>
        <v>Werkelijke ontvangsten m.b.t. exogene kosten in boekjaar 2017 (elektriciteit-injectie)</v>
      </c>
      <c r="K15" s="547"/>
      <c r="L15" s="547"/>
      <c r="M15" s="547"/>
      <c r="N15" s="546"/>
      <c r="O15" s="546"/>
    </row>
    <row r="16" spans="1:16" s="315" customFormat="1" ht="12.75" customHeight="1" x14ac:dyDescent="0.25">
      <c r="A16" s="312"/>
      <c r="B16" s="313"/>
      <c r="C16" s="313"/>
      <c r="D16" s="314"/>
      <c r="E16" s="1125"/>
      <c r="F16" s="1128"/>
      <c r="G16" s="1128"/>
      <c r="I16" s="1128"/>
      <c r="K16" s="564"/>
      <c r="L16" s="564"/>
      <c r="M16" s="564"/>
      <c r="N16" s="564"/>
      <c r="O16" s="564"/>
    </row>
    <row r="17" spans="1:9" s="315" customFormat="1" ht="11.25" customHeight="1" x14ac:dyDescent="0.25">
      <c r="A17" s="312"/>
      <c r="B17" s="313"/>
      <c r="C17" s="313"/>
      <c r="D17" s="314"/>
      <c r="E17" s="1125"/>
      <c r="F17" s="1128"/>
      <c r="G17" s="1128"/>
      <c r="H17" s="316"/>
      <c r="I17" s="1128"/>
    </row>
    <row r="18" spans="1:9" s="315" customFormat="1" ht="12.75" customHeight="1" x14ac:dyDescent="0.25">
      <c r="A18" s="312"/>
      <c r="B18" s="313"/>
      <c r="C18" s="313"/>
      <c r="D18" s="314"/>
      <c r="E18" s="1125"/>
      <c r="F18" s="1128"/>
      <c r="G18" s="1128"/>
      <c r="I18" s="1128"/>
    </row>
    <row r="19" spans="1:9" s="315" customFormat="1" ht="28.5" customHeight="1" thickBot="1" x14ac:dyDescent="0.3">
      <c r="A19" s="317"/>
      <c r="B19" s="318"/>
      <c r="C19" s="318"/>
      <c r="D19" s="319"/>
      <c r="E19" s="1126"/>
      <c r="F19" s="1129"/>
      <c r="G19" s="1129"/>
      <c r="I19" s="1129"/>
    </row>
    <row r="20" spans="1:9" s="305" customFormat="1" ht="16.5" customHeight="1" x14ac:dyDescent="0.3">
      <c r="A20" s="320"/>
      <c r="B20" s="321"/>
      <c r="C20" s="322"/>
      <c r="D20" s="323"/>
      <c r="E20" s="548"/>
      <c r="F20" s="549"/>
      <c r="G20" s="549"/>
      <c r="H20" s="324"/>
      <c r="I20" s="549"/>
    </row>
    <row r="21" spans="1:9" s="305" customFormat="1" ht="16.5" customHeight="1" x14ac:dyDescent="0.3">
      <c r="A21" s="325"/>
      <c r="B21" s="480"/>
      <c r="C21" s="481"/>
      <c r="D21" s="327"/>
      <c r="E21" s="553"/>
      <c r="F21" s="552"/>
      <c r="G21" s="552"/>
      <c r="H21" s="324"/>
      <c r="I21" s="552"/>
    </row>
    <row r="22" spans="1:9" s="305" customFormat="1" ht="16.5" customHeight="1" x14ac:dyDescent="0.3">
      <c r="A22" s="325" t="s">
        <v>148</v>
      </c>
      <c r="B22" s="321" t="s">
        <v>166</v>
      </c>
      <c r="C22" s="328"/>
      <c r="D22" s="327"/>
      <c r="E22" s="516">
        <v>0</v>
      </c>
      <c r="F22" s="651">
        <v>0</v>
      </c>
      <c r="G22" s="518">
        <f>E22*F22</f>
        <v>0</v>
      </c>
      <c r="H22" s="324"/>
      <c r="I22" s="518">
        <f>E22-G22</f>
        <v>0</v>
      </c>
    </row>
    <row r="23" spans="1:9" s="305" customFormat="1" ht="16.5" customHeight="1" x14ac:dyDescent="0.3">
      <c r="A23" s="329"/>
      <c r="B23" s="330"/>
      <c r="C23" s="330"/>
      <c r="D23" s="262"/>
      <c r="E23" s="555"/>
      <c r="F23" s="554"/>
      <c r="G23" s="555"/>
      <c r="H23" s="324"/>
      <c r="I23" s="555"/>
    </row>
    <row r="24" spans="1:9" s="305" customFormat="1" ht="16.5" customHeight="1" x14ac:dyDescent="0.3">
      <c r="A24" s="329"/>
      <c r="B24" s="330"/>
      <c r="C24" s="330"/>
      <c r="D24" s="262"/>
      <c r="E24" s="556"/>
      <c r="F24" s="557"/>
      <c r="G24" s="558"/>
      <c r="H24" s="324"/>
      <c r="I24" s="558"/>
    </row>
    <row r="25" spans="1:9" s="305" customFormat="1" ht="14.25" customHeight="1" x14ac:dyDescent="0.3">
      <c r="A25" s="331" t="s">
        <v>155</v>
      </c>
      <c r="B25" s="1122" t="s">
        <v>154</v>
      </c>
      <c r="C25" s="1122"/>
      <c r="D25" s="1123"/>
      <c r="E25" s="516">
        <v>0</v>
      </c>
      <c r="F25" s="651">
        <v>0</v>
      </c>
      <c r="G25" s="518">
        <f>E25*F25</f>
        <v>0</v>
      </c>
      <c r="H25" s="332"/>
      <c r="I25" s="518">
        <f>E25-G25</f>
        <v>0</v>
      </c>
    </row>
    <row r="26" spans="1:9" s="305" customFormat="1" ht="16.5" customHeight="1" x14ac:dyDescent="0.3">
      <c r="A26" s="333"/>
      <c r="B26" s="326"/>
      <c r="C26" s="334"/>
      <c r="D26" s="335"/>
      <c r="E26" s="555"/>
      <c r="F26" s="554"/>
      <c r="G26" s="555"/>
      <c r="H26" s="324"/>
      <c r="I26" s="555"/>
    </row>
    <row r="27" spans="1:9" s="305" customFormat="1" ht="16.5" customHeight="1" x14ac:dyDescent="0.3">
      <c r="A27" s="333"/>
      <c r="B27" s="326"/>
      <c r="C27" s="334"/>
      <c r="D27" s="336"/>
      <c r="E27" s="550"/>
      <c r="F27" s="559"/>
      <c r="G27" s="551"/>
      <c r="H27" s="337"/>
      <c r="I27" s="551"/>
    </row>
    <row r="28" spans="1:9" s="305" customFormat="1" ht="16.5" customHeight="1" x14ac:dyDescent="0.3">
      <c r="A28" s="329" t="s">
        <v>157</v>
      </c>
      <c r="B28" s="326" t="s">
        <v>160</v>
      </c>
      <c r="C28" s="326"/>
      <c r="D28" s="336"/>
      <c r="E28" s="516">
        <v>0</v>
      </c>
      <c r="F28" s="651">
        <v>0</v>
      </c>
      <c r="G28" s="518">
        <f>E28*F28</f>
        <v>0</v>
      </c>
      <c r="H28" s="324"/>
      <c r="I28" s="518">
        <f>E28-G28</f>
        <v>0</v>
      </c>
    </row>
    <row r="29" spans="1:9" s="305" customFormat="1" ht="16.5" customHeight="1" x14ac:dyDescent="0.3">
      <c r="A29" s="333"/>
      <c r="B29" s="330"/>
      <c r="C29" s="330"/>
      <c r="D29" s="327"/>
      <c r="E29" s="555"/>
      <c r="F29" s="554"/>
      <c r="G29" s="555"/>
      <c r="H29" s="324"/>
      <c r="I29" s="555"/>
    </row>
    <row r="30" spans="1:9" s="305" customFormat="1" ht="16.5" customHeight="1" x14ac:dyDescent="0.3">
      <c r="A30" s="333"/>
      <c r="B30" s="326"/>
      <c r="C30" s="326"/>
      <c r="D30" s="262"/>
      <c r="E30" s="556"/>
      <c r="F30" s="557"/>
      <c r="G30" s="558"/>
      <c r="H30" s="332"/>
      <c r="I30" s="558"/>
    </row>
    <row r="31" spans="1:9" s="305" customFormat="1" ht="16.5" customHeight="1" x14ac:dyDescent="0.3">
      <c r="A31" s="329" t="s">
        <v>163</v>
      </c>
      <c r="B31" s="326" t="s">
        <v>164</v>
      </c>
      <c r="C31" s="326"/>
      <c r="D31" s="336"/>
      <c r="E31" s="516">
        <v>0</v>
      </c>
      <c r="F31" s="651">
        <v>0</v>
      </c>
      <c r="G31" s="518">
        <f>E31*F31</f>
        <v>0</v>
      </c>
      <c r="H31" s="324"/>
      <c r="I31" s="518">
        <f>E31-G31</f>
        <v>0</v>
      </c>
    </row>
    <row r="32" spans="1:9" s="305" customFormat="1" ht="16.5" customHeight="1" x14ac:dyDescent="0.25">
      <c r="A32" s="333"/>
      <c r="B32" s="478"/>
      <c r="C32" s="479"/>
      <c r="D32" s="338"/>
      <c r="E32" s="560"/>
      <c r="F32" s="560"/>
      <c r="G32" s="560"/>
      <c r="H32" s="339"/>
      <c r="I32" s="560"/>
    </row>
    <row r="33" spans="1:9" s="315" customFormat="1" ht="16.5" customHeight="1" thickBot="1" x14ac:dyDescent="0.3">
      <c r="A33" s="340"/>
      <c r="B33" s="341"/>
      <c r="C33" s="341"/>
      <c r="D33" s="342"/>
      <c r="E33" s="561"/>
      <c r="F33" s="562"/>
      <c r="G33" s="562"/>
      <c r="H33" s="343"/>
      <c r="I33" s="562"/>
    </row>
    <row r="34" spans="1:9" s="475" customFormat="1" ht="16.5" customHeight="1" thickBot="1" x14ac:dyDescent="0.35">
      <c r="A34" s="647"/>
      <c r="B34" s="648" t="s">
        <v>168</v>
      </c>
      <c r="C34" s="476"/>
      <c r="D34" s="477"/>
      <c r="E34" s="563">
        <f>SUM(E31,E28,E25,E22)</f>
        <v>0</v>
      </c>
      <c r="F34" s="536"/>
      <c r="G34" s="563">
        <f>SUM(G31,G28,G25,G22)</f>
        <v>0</v>
      </c>
      <c r="H34" s="343"/>
      <c r="I34" s="563">
        <f>SUM(I31,I28,I25,I22)</f>
        <v>0</v>
      </c>
    </row>
    <row r="35" spans="1:9" s="344" customFormat="1" ht="13.5" customHeight="1" x14ac:dyDescent="0.25">
      <c r="C35" s="345"/>
      <c r="H35" s="343"/>
    </row>
    <row r="36" spans="1:9" s="344" customFormat="1" ht="13.5" customHeight="1" x14ac:dyDescent="0.2">
      <c r="D36" s="346"/>
      <c r="E36" s="346"/>
      <c r="F36" s="346"/>
      <c r="G36" s="346"/>
      <c r="H36" s="347"/>
    </row>
    <row r="37" spans="1:9" s="344" customFormat="1" ht="13.5" customHeight="1" x14ac:dyDescent="0.2">
      <c r="D37" s="346"/>
      <c r="E37" s="346"/>
      <c r="F37" s="346"/>
      <c r="G37" s="346"/>
      <c r="H37" s="347"/>
    </row>
    <row r="38" spans="1:9" s="344" customFormat="1" ht="13.5" customHeight="1" x14ac:dyDescent="0.2">
      <c r="D38" s="346"/>
      <c r="E38" s="346"/>
      <c r="F38" s="346"/>
      <c r="G38" s="346"/>
      <c r="H38" s="347"/>
    </row>
    <row r="39" spans="1:9" s="344" customFormat="1" ht="13.5" customHeight="1" x14ac:dyDescent="0.2">
      <c r="D39" s="346"/>
      <c r="E39" s="346"/>
      <c r="F39" s="346"/>
      <c r="G39" s="346"/>
      <c r="H39" s="347"/>
    </row>
    <row r="40" spans="1:9" ht="13.5" customHeight="1" x14ac:dyDescent="0.25">
      <c r="H40" s="347"/>
    </row>
    <row r="41" spans="1:9" ht="13.5" customHeight="1" x14ac:dyDescent="0.25">
      <c r="H41" s="347"/>
    </row>
    <row r="42" spans="1:9" ht="13.5" customHeight="1" x14ac:dyDescent="0.25">
      <c r="H42" s="347"/>
    </row>
    <row r="43" spans="1:9" ht="17.25" customHeight="1" x14ac:dyDescent="0.25"/>
    <row r="44" spans="1:9" ht="17.25" customHeight="1" x14ac:dyDescent="0.25"/>
  </sheetData>
  <mergeCells count="7">
    <mergeCell ref="B25:D25"/>
    <mergeCell ref="E15:E19"/>
    <mergeCell ref="F15:F19"/>
    <mergeCell ref="G15:G19"/>
    <mergeCell ref="A1:I1"/>
    <mergeCell ref="I15:I19"/>
    <mergeCell ref="B5:F12"/>
  </mergeCells>
  <conditionalFormatting sqref="I20:I34 E20:G34">
    <cfRule type="expression" dxfId="43" priority="1" stopIfTrue="1">
      <formula>$O$14="ex-ante"</formula>
    </cfRule>
    <cfRule type="expression" dxfId="42" priority="2" stopIfTrue="1">
      <formula>#REF!="gas"</formula>
    </cfRule>
  </conditionalFormatting>
  <pageMargins left="7.874015748031496E-2" right="7.874015748031496E-2" top="0.39370078740157483" bottom="0.39370078740157483" header="0.31496062992125984" footer="0.31496062992125984"/>
  <pageSetup paperSize="8" orientation="landscape" r:id="rId1"/>
  <headerFooter alignWithMargins="0">
    <oddFooter>&amp;L&amp;"Arial,Bold Italic"&amp;8&amp;F&amp;C&amp;"Arial,Bold Italic"&amp;8&amp;A&amp;"Arial,Regular"&amp;10
&amp;R&amp;"Arial,Bold Italic"&amp;8&amp;D
Pagina 1 / 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pageSetUpPr fitToPage="1"/>
  </sheetPr>
  <dimension ref="A1:O46"/>
  <sheetViews>
    <sheetView zoomScale="80" zoomScaleNormal="80" workbookViewId="0">
      <selection activeCell="B37" sqref="B37"/>
    </sheetView>
  </sheetViews>
  <sheetFormatPr defaultColWidth="9.1796875" defaultRowHeight="12.5" x14ac:dyDescent="0.25"/>
  <cols>
    <col min="1" max="1" width="8.54296875" style="351" customWidth="1"/>
    <col min="2" max="2" width="72.453125" style="351" bestFit="1" customWidth="1"/>
    <col min="3" max="3" width="27" style="351" bestFit="1" customWidth="1"/>
    <col min="4" max="4" width="3.7265625" style="351" customWidth="1"/>
    <col min="5" max="5" width="46.81640625" style="351" customWidth="1"/>
    <col min="6" max="6" width="29" style="351" customWidth="1"/>
    <col min="7" max="7" width="34" style="351" customWidth="1"/>
    <col min="8" max="8" width="3.453125" style="351" customWidth="1"/>
    <col min="9" max="9" width="31.81640625" style="351" customWidth="1"/>
    <col min="10" max="16384" width="9.1796875" style="351"/>
  </cols>
  <sheetData>
    <row r="1" spans="1:15" ht="18.5" thickBot="1" x14ac:dyDescent="0.45">
      <c r="A1" s="1051" t="str">
        <f>"TABEL 5E: Werkelijke ontvangsten uit periodieke distributienettarieven voor exogene en endogene kosten in boekjaar "&amp;TITELBLAD!E15&amp;" (gas - afname)"</f>
        <v>TABEL 5E: Werkelijke ontvangsten uit periodieke distributienettarieven voor exogene en endogene kosten in boekjaar 2017 (gas - afname)</v>
      </c>
      <c r="B1" s="1052"/>
      <c r="C1" s="1052"/>
      <c r="D1" s="1052"/>
      <c r="E1" s="1052"/>
      <c r="F1" s="1052"/>
      <c r="G1" s="1053"/>
      <c r="H1" s="349"/>
      <c r="I1" s="350"/>
      <c r="J1" s="350"/>
    </row>
    <row r="2" spans="1:15" x14ac:dyDescent="0.25">
      <c r="J2" s="585"/>
      <c r="K2" s="585"/>
      <c r="L2" s="585"/>
      <c r="M2" s="585"/>
      <c r="N2" s="585"/>
      <c r="O2" s="585"/>
    </row>
    <row r="3" spans="1:15" s="20" customFormat="1" x14ac:dyDescent="0.25">
      <c r="M3" s="394"/>
    </row>
    <row r="4" spans="1:15" s="20" customFormat="1" ht="13" x14ac:dyDescent="0.3">
      <c r="B4" s="110" t="s">
        <v>253</v>
      </c>
      <c r="M4" s="394"/>
    </row>
    <row r="5" spans="1:15" s="20" customFormat="1" x14ac:dyDescent="0.25">
      <c r="B5" s="1016" t="s">
        <v>353</v>
      </c>
      <c r="C5" s="1016"/>
      <c r="D5" s="1016"/>
      <c r="E5" s="1016"/>
      <c r="F5" s="1016"/>
      <c r="M5" s="394"/>
    </row>
    <row r="6" spans="1:15" s="20" customFormat="1" x14ac:dyDescent="0.25">
      <c r="B6" s="1016"/>
      <c r="C6" s="1016"/>
      <c r="D6" s="1016"/>
      <c r="E6" s="1016"/>
      <c r="F6" s="1016"/>
      <c r="M6" s="394"/>
    </row>
    <row r="7" spans="1:15" s="20" customFormat="1" x14ac:dyDescent="0.25">
      <c r="B7" s="1016"/>
      <c r="C7" s="1016"/>
      <c r="D7" s="1016"/>
      <c r="E7" s="1016"/>
      <c r="F7" s="1016"/>
      <c r="M7" s="394"/>
    </row>
    <row r="8" spans="1:15" s="20" customFormat="1" x14ac:dyDescent="0.25">
      <c r="B8" s="1016"/>
      <c r="C8" s="1016"/>
      <c r="D8" s="1016"/>
      <c r="E8" s="1016"/>
      <c r="F8" s="1016"/>
      <c r="M8" s="394"/>
    </row>
    <row r="9" spans="1:15" s="20" customFormat="1" x14ac:dyDescent="0.25">
      <c r="B9" s="1016"/>
      <c r="C9" s="1016"/>
      <c r="D9" s="1016"/>
      <c r="E9" s="1016"/>
      <c r="F9" s="1016"/>
      <c r="M9" s="394"/>
    </row>
    <row r="10" spans="1:15" s="20" customFormat="1" x14ac:dyDescent="0.25">
      <c r="B10" s="1016"/>
      <c r="C10" s="1016"/>
      <c r="D10" s="1016"/>
      <c r="E10" s="1016"/>
      <c r="F10" s="1016"/>
      <c r="M10" s="394"/>
    </row>
    <row r="11" spans="1:15" s="20" customFormat="1" x14ac:dyDescent="0.25">
      <c r="B11" s="1016"/>
      <c r="C11" s="1016"/>
      <c r="D11" s="1016"/>
      <c r="E11" s="1016"/>
      <c r="F11" s="1016"/>
      <c r="M11" s="394"/>
    </row>
    <row r="12" spans="1:15" s="20" customFormat="1" x14ac:dyDescent="0.25">
      <c r="B12" s="1016"/>
      <c r="C12" s="1016"/>
      <c r="D12" s="1016"/>
      <c r="E12" s="1016"/>
      <c r="F12" s="1016"/>
      <c r="M12" s="394"/>
    </row>
    <row r="13" spans="1:15" s="20" customFormat="1" x14ac:dyDescent="0.25">
      <c r="M13" s="394"/>
    </row>
    <row r="14" spans="1:15" x14ac:dyDescent="0.25">
      <c r="J14" s="585"/>
      <c r="K14" s="585" t="str">
        <f>+TITELBLAD!C12</f>
        <v>elektriciteit</v>
      </c>
      <c r="L14" s="585"/>
      <c r="M14" s="585"/>
      <c r="N14" s="585"/>
      <c r="O14" s="585"/>
    </row>
    <row r="15" spans="1:15" ht="15" customHeight="1" thickBot="1" x14ac:dyDescent="0.3">
      <c r="J15" s="585"/>
      <c r="K15" s="585" t="str">
        <f>+TITELBLAD!B18</f>
        <v>Rapportering over boekjaar:</v>
      </c>
      <c r="L15" s="585"/>
      <c r="M15" s="585"/>
      <c r="N15" s="585">
        <f>+TITELBLAD!E18</f>
        <v>2019</v>
      </c>
      <c r="O15" s="585" t="str">
        <f>+TITELBLAD!F18</f>
        <v>ex-ante</v>
      </c>
    </row>
    <row r="16" spans="1:15" ht="15" customHeight="1" x14ac:dyDescent="0.25">
      <c r="A16" s="1130"/>
      <c r="B16" s="1131"/>
      <c r="C16" s="1132"/>
      <c r="D16" s="352"/>
      <c r="E16" s="1139" t="str">
        <f>"Totale werkelijke ontvangsten uit periodieke distributienettarieven in boekjaar "&amp;TITELBLAD!E15&amp;" (gas)"</f>
        <v>Totale werkelijke ontvangsten uit periodieke distributienettarieven in boekjaar 2017 (gas)</v>
      </c>
      <c r="F16" s="1142" t="s">
        <v>228</v>
      </c>
      <c r="G16" s="1145" t="str">
        <f>"Werkelijke ontvangsten m.b.t. endogene kosten in boekjaar "&amp;TITELBLAD!E15&amp;" (gas)"</f>
        <v>Werkelijke ontvangsten m.b.t. endogene kosten in boekjaar 2017 (gas)</v>
      </c>
      <c r="I16" s="1127" t="str">
        <f>"Werkelijke ontvangsten m.b.t. exogene kosten in boekjaar "&amp;TITELBLAD!E15&amp;" (gas)"</f>
        <v>Werkelijke ontvangsten m.b.t. exogene kosten in boekjaar 2017 (gas)</v>
      </c>
      <c r="J16" s="585"/>
      <c r="K16" s="585"/>
      <c r="L16" s="585"/>
      <c r="M16" s="585"/>
      <c r="N16" s="585"/>
      <c r="O16" s="585"/>
    </row>
    <row r="17" spans="1:15" ht="21" customHeight="1" x14ac:dyDescent="0.25">
      <c r="A17" s="1133"/>
      <c r="B17" s="1134"/>
      <c r="C17" s="1135"/>
      <c r="D17" s="352"/>
      <c r="E17" s="1140"/>
      <c r="F17" s="1143"/>
      <c r="G17" s="1146"/>
      <c r="I17" s="1128"/>
      <c r="J17" s="585"/>
      <c r="K17" s="585"/>
      <c r="L17" s="585"/>
      <c r="M17" s="585"/>
      <c r="N17" s="585"/>
      <c r="O17" s="585"/>
    </row>
    <row r="18" spans="1:15" ht="21" customHeight="1" x14ac:dyDescent="0.25">
      <c r="A18" s="1133"/>
      <c r="B18" s="1134"/>
      <c r="C18" s="1135"/>
      <c r="D18" s="352"/>
      <c r="E18" s="1140"/>
      <c r="F18" s="1143"/>
      <c r="G18" s="1146"/>
      <c r="I18" s="1128"/>
    </row>
    <row r="19" spans="1:15" s="15" customFormat="1" ht="28.5" customHeight="1" thickBot="1" x14ac:dyDescent="0.3">
      <c r="A19" s="1133"/>
      <c r="B19" s="1134"/>
      <c r="C19" s="1135"/>
      <c r="D19" s="352"/>
      <c r="E19" s="1141"/>
      <c r="F19" s="1144"/>
      <c r="G19" s="1147"/>
      <c r="I19" s="1129"/>
    </row>
    <row r="20" spans="1:15" s="15" customFormat="1" ht="12" customHeight="1" thickBot="1" x14ac:dyDescent="0.3">
      <c r="A20" s="1136"/>
      <c r="B20" s="1137"/>
      <c r="C20" s="1138"/>
      <c r="D20" s="352"/>
      <c r="E20" s="353"/>
      <c r="F20" s="354"/>
      <c r="G20" s="355"/>
      <c r="I20" s="445"/>
    </row>
    <row r="21" spans="1:15" s="15" customFormat="1" ht="18.75" customHeight="1" x14ac:dyDescent="0.25">
      <c r="A21" s="356" t="s">
        <v>169</v>
      </c>
      <c r="B21" s="357"/>
      <c r="C21" s="358"/>
      <c r="D21" s="359"/>
      <c r="E21" s="565">
        <f>SUM(E23,E29,E26)</f>
        <v>0</v>
      </c>
      <c r="F21" s="566"/>
      <c r="G21" s="567">
        <f>SUM(G23,G29,G26)</f>
        <v>0</v>
      </c>
      <c r="I21" s="577">
        <f>SUM(I23,I29,I26)</f>
        <v>0</v>
      </c>
    </row>
    <row r="22" spans="1:15" s="16" customFormat="1" ht="18" customHeight="1" x14ac:dyDescent="0.3">
      <c r="A22" s="360"/>
      <c r="B22" s="357"/>
      <c r="C22" s="358"/>
      <c r="D22" s="359"/>
      <c r="E22" s="568"/>
      <c r="F22" s="569"/>
      <c r="G22" s="358"/>
      <c r="I22" s="578"/>
    </row>
    <row r="23" spans="1:15" s="15" customFormat="1" ht="18" customHeight="1" x14ac:dyDescent="0.25">
      <c r="A23" s="361" t="s">
        <v>170</v>
      </c>
      <c r="B23" s="362" t="s">
        <v>171</v>
      </c>
      <c r="C23" s="363"/>
      <c r="D23" s="364"/>
      <c r="E23" s="652">
        <v>0</v>
      </c>
      <c r="F23" s="657">
        <v>0</v>
      </c>
      <c r="G23" s="570">
        <f>E23*F23</f>
        <v>0</v>
      </c>
      <c r="I23" s="579">
        <f>E23-G23</f>
        <v>0</v>
      </c>
    </row>
    <row r="24" spans="1:15" s="15" customFormat="1" ht="18" customHeight="1" x14ac:dyDescent="0.25">
      <c r="A24" s="360"/>
      <c r="B24" s="365"/>
      <c r="C24" s="366"/>
      <c r="D24" s="367"/>
      <c r="E24" s="653"/>
      <c r="F24" s="658"/>
      <c r="G24" s="366"/>
      <c r="I24" s="580"/>
    </row>
    <row r="25" spans="1:15" s="15" customFormat="1" ht="18" customHeight="1" x14ac:dyDescent="0.25">
      <c r="A25" s="360"/>
      <c r="B25" s="357"/>
      <c r="C25" s="368"/>
      <c r="D25" s="369"/>
      <c r="E25" s="654"/>
      <c r="F25" s="659"/>
      <c r="G25" s="368"/>
      <c r="I25" s="581"/>
    </row>
    <row r="26" spans="1:15" s="15" customFormat="1" ht="19.5" customHeight="1" x14ac:dyDescent="0.25">
      <c r="A26" s="361" t="s">
        <v>172</v>
      </c>
      <c r="B26" s="362" t="s">
        <v>173</v>
      </c>
      <c r="C26" s="366"/>
      <c r="D26" s="367"/>
      <c r="E26" s="652">
        <v>0</v>
      </c>
      <c r="F26" s="657">
        <v>0</v>
      </c>
      <c r="G26" s="570">
        <f>E26*F26</f>
        <v>0</v>
      </c>
      <c r="I26" s="579">
        <f>E26-G26</f>
        <v>0</v>
      </c>
    </row>
    <row r="27" spans="1:15" s="15" customFormat="1" ht="14.25" customHeight="1" x14ac:dyDescent="0.25">
      <c r="A27" s="360"/>
      <c r="B27" s="357"/>
      <c r="C27" s="368"/>
      <c r="D27" s="369"/>
      <c r="E27" s="655"/>
      <c r="F27" s="659"/>
      <c r="G27" s="368"/>
      <c r="I27" s="581"/>
    </row>
    <row r="28" spans="1:15" s="15" customFormat="1" ht="14.25" customHeight="1" x14ac:dyDescent="0.25">
      <c r="A28" s="360"/>
      <c r="B28" s="357"/>
      <c r="C28" s="368"/>
      <c r="D28" s="369"/>
      <c r="E28" s="655"/>
      <c r="F28" s="659"/>
      <c r="G28" s="368"/>
      <c r="I28" s="581"/>
    </row>
    <row r="29" spans="1:15" s="15" customFormat="1" ht="18" customHeight="1" x14ac:dyDescent="0.25">
      <c r="A29" s="361" t="s">
        <v>174</v>
      </c>
      <c r="B29" s="370" t="s">
        <v>175</v>
      </c>
      <c r="C29" s="368"/>
      <c r="D29" s="369"/>
      <c r="E29" s="652">
        <v>0</v>
      </c>
      <c r="F29" s="657">
        <v>0</v>
      </c>
      <c r="G29" s="570">
        <f>E29*F29</f>
        <v>0</v>
      </c>
      <c r="I29" s="579">
        <f>E29-G29</f>
        <v>0</v>
      </c>
    </row>
    <row r="30" spans="1:15" s="15" customFormat="1" ht="21" customHeight="1" x14ac:dyDescent="0.25">
      <c r="A30" s="360"/>
      <c r="B30" s="365"/>
      <c r="C30" s="366"/>
      <c r="D30" s="367"/>
      <c r="E30" s="653"/>
      <c r="F30" s="658"/>
      <c r="G30" s="366"/>
      <c r="I30" s="580"/>
    </row>
    <row r="31" spans="1:15" s="15" customFormat="1" ht="18" customHeight="1" x14ac:dyDescent="0.25">
      <c r="A31" s="360"/>
      <c r="B31" s="357"/>
      <c r="C31" s="368"/>
      <c r="D31" s="369"/>
      <c r="E31" s="654"/>
      <c r="F31" s="659"/>
      <c r="G31" s="368"/>
      <c r="I31" s="581"/>
    </row>
    <row r="32" spans="1:15" s="15" customFormat="1" ht="18" customHeight="1" x14ac:dyDescent="0.25">
      <c r="A32" s="356" t="s">
        <v>176</v>
      </c>
      <c r="B32" s="357"/>
      <c r="C32" s="366"/>
      <c r="D32" s="367"/>
      <c r="E32" s="521">
        <v>0</v>
      </c>
      <c r="F32" s="661">
        <v>0</v>
      </c>
      <c r="G32" s="567">
        <f>E32*F32</f>
        <v>0</v>
      </c>
      <c r="I32" s="577">
        <f>E32-G32</f>
        <v>0</v>
      </c>
    </row>
    <row r="33" spans="1:9" s="15" customFormat="1" ht="18" customHeight="1" x14ac:dyDescent="0.25">
      <c r="A33" s="360"/>
      <c r="B33" s="357"/>
      <c r="C33" s="368"/>
      <c r="D33" s="369"/>
      <c r="E33" s="654"/>
      <c r="F33" s="659"/>
      <c r="G33" s="368"/>
      <c r="I33" s="581"/>
    </row>
    <row r="34" spans="1:9" s="15" customFormat="1" ht="18" customHeight="1" x14ac:dyDescent="0.25">
      <c r="A34" s="360"/>
      <c r="B34" s="357"/>
      <c r="C34" s="368"/>
      <c r="D34" s="369"/>
      <c r="E34" s="654"/>
      <c r="F34" s="659"/>
      <c r="G34" s="368"/>
      <c r="I34" s="581"/>
    </row>
    <row r="35" spans="1:9" s="15" customFormat="1" ht="20.25" customHeight="1" x14ac:dyDescent="0.25">
      <c r="A35" s="356" t="s">
        <v>231</v>
      </c>
      <c r="B35" s="357"/>
      <c r="C35" s="366"/>
      <c r="D35" s="367"/>
      <c r="E35" s="521">
        <v>0</v>
      </c>
      <c r="F35" s="661">
        <v>0</v>
      </c>
      <c r="G35" s="567">
        <f>E35*F35</f>
        <v>0</v>
      </c>
      <c r="I35" s="577">
        <f>E35-G35</f>
        <v>0</v>
      </c>
    </row>
    <row r="36" spans="1:9" s="15" customFormat="1" ht="18" customHeight="1" x14ac:dyDescent="0.25">
      <c r="A36" s="360"/>
      <c r="B36" s="357"/>
      <c r="C36" s="368"/>
      <c r="D36" s="369"/>
      <c r="E36" s="654"/>
      <c r="F36" s="659"/>
      <c r="G36" s="368"/>
      <c r="I36" s="581"/>
    </row>
    <row r="37" spans="1:9" s="15" customFormat="1" ht="18" customHeight="1" x14ac:dyDescent="0.25">
      <c r="A37" s="360"/>
      <c r="B37" s="357"/>
      <c r="C37" s="368"/>
      <c r="D37" s="369"/>
      <c r="E37" s="654"/>
      <c r="F37" s="659"/>
      <c r="G37" s="368"/>
      <c r="I37" s="581"/>
    </row>
    <row r="38" spans="1:9" s="15" customFormat="1" ht="17.25" customHeight="1" x14ac:dyDescent="0.25">
      <c r="A38" s="356" t="s">
        <v>232</v>
      </c>
      <c r="B38" s="357"/>
      <c r="C38" s="366"/>
      <c r="D38" s="367"/>
      <c r="E38" s="521">
        <v>0</v>
      </c>
      <c r="F38" s="661">
        <v>0</v>
      </c>
      <c r="G38" s="567">
        <f>E38*F38</f>
        <v>0</v>
      </c>
      <c r="I38" s="577">
        <f>E38-G38</f>
        <v>0</v>
      </c>
    </row>
    <row r="39" spans="1:9" s="15" customFormat="1" ht="18" customHeight="1" x14ac:dyDescent="0.25">
      <c r="A39" s="360"/>
      <c r="B39" s="357"/>
      <c r="C39" s="368"/>
      <c r="D39" s="369"/>
      <c r="E39" s="654"/>
      <c r="F39" s="659"/>
      <c r="G39" s="368"/>
      <c r="I39" s="581"/>
    </row>
    <row r="40" spans="1:9" s="15" customFormat="1" ht="18" customHeight="1" x14ac:dyDescent="0.25">
      <c r="A40" s="360"/>
      <c r="B40" s="357"/>
      <c r="C40" s="368"/>
      <c r="D40" s="369"/>
      <c r="E40" s="654"/>
      <c r="F40" s="659"/>
      <c r="G40" s="368"/>
      <c r="I40" s="581"/>
    </row>
    <row r="41" spans="1:9" s="15" customFormat="1" ht="22.5" customHeight="1" x14ac:dyDescent="0.25">
      <c r="A41" s="356" t="s">
        <v>233</v>
      </c>
      <c r="B41" s="357"/>
      <c r="C41" s="368"/>
      <c r="D41" s="369"/>
      <c r="E41" s="521">
        <v>0</v>
      </c>
      <c r="F41" s="661">
        <v>0</v>
      </c>
      <c r="G41" s="567">
        <f>E41*F41</f>
        <v>0</v>
      </c>
      <c r="I41" s="577">
        <f>E41-G41</f>
        <v>0</v>
      </c>
    </row>
    <row r="42" spans="1:9" s="15" customFormat="1" ht="18" customHeight="1" x14ac:dyDescent="0.25">
      <c r="A42" s="371"/>
      <c r="B42" s="362"/>
      <c r="C42" s="366"/>
      <c r="D42" s="367"/>
      <c r="E42" s="656"/>
      <c r="F42" s="660"/>
      <c r="G42" s="571"/>
      <c r="I42" s="582"/>
    </row>
    <row r="43" spans="1:9" s="15" customFormat="1" ht="14.25" customHeight="1" thickBot="1" x14ac:dyDescent="0.3">
      <c r="A43" s="371"/>
      <c r="B43" s="372"/>
      <c r="C43" s="373"/>
      <c r="D43" s="367"/>
      <c r="E43" s="572"/>
      <c r="F43" s="573"/>
      <c r="G43" s="373"/>
      <c r="I43" s="583"/>
    </row>
    <row r="44" spans="1:9" s="377" customFormat="1" ht="21" customHeight="1" thickBot="1" x14ac:dyDescent="0.3">
      <c r="A44" s="374"/>
      <c r="B44" s="375" t="s">
        <v>177</v>
      </c>
      <c r="C44" s="376"/>
      <c r="D44" s="367"/>
      <c r="E44" s="574">
        <f>SUM(E41,E38,E35,E32,E21)</f>
        <v>0</v>
      </c>
      <c r="F44" s="575"/>
      <c r="G44" s="576">
        <f>SUM(G41,G38,G35,G32,G21)</f>
        <v>0</v>
      </c>
      <c r="I44" s="584">
        <f>SUM(I41,I38,I35,I32,I21)</f>
        <v>0</v>
      </c>
    </row>
    <row r="46" spans="1:9" ht="13" x14ac:dyDescent="0.3">
      <c r="C46" s="378"/>
      <c r="E46" s="379"/>
      <c r="F46" s="379"/>
    </row>
  </sheetData>
  <mergeCells count="7">
    <mergeCell ref="I16:I19"/>
    <mergeCell ref="B5:F12"/>
    <mergeCell ref="A1:G1"/>
    <mergeCell ref="A16:C20"/>
    <mergeCell ref="E16:E19"/>
    <mergeCell ref="F16:F19"/>
    <mergeCell ref="G16:G19"/>
  </mergeCells>
  <conditionalFormatting sqref="I21:I44 E21:G44">
    <cfRule type="expression" dxfId="41" priority="1" stopIfTrue="1">
      <formula>$O$15="ex-ante"</formula>
    </cfRule>
    <cfRule type="expression" dxfId="40" priority="2" stopIfTrue="1">
      <formula>$K$14="elektriciteit"</formula>
    </cfRule>
  </conditionalFormatting>
  <pageMargins left="0.19685039370078741" right="0.19685039370078741" top="0.39370078740157483" bottom="0.39370078740157483" header="0.51181102362204722" footer="0.19685039370078741"/>
  <pageSetup paperSize="8" scale="81" orientation="landscape" r:id="rId1"/>
  <headerFooter alignWithMargins="0">
    <oddFooter>&amp;C&amp;8&amp;F&amp;R&amp;8&amp;A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6"/>
  <sheetViews>
    <sheetView zoomScale="80" zoomScaleNormal="80" zoomScaleSheetLayoutView="80" workbookViewId="0">
      <selection activeCell="C7" sqref="C7"/>
    </sheetView>
  </sheetViews>
  <sheetFormatPr defaultColWidth="11.453125" defaultRowHeight="12.5" x14ac:dyDescent="0.25"/>
  <cols>
    <col min="1" max="1" width="25.453125" style="187" customWidth="1"/>
    <col min="2" max="2" width="21.453125" style="187" customWidth="1"/>
    <col min="3" max="6" width="17.7265625" style="187" customWidth="1"/>
    <col min="7" max="7" width="2.26953125" style="187" customWidth="1"/>
    <col min="8" max="8" width="17.7265625" style="187" customWidth="1"/>
    <col min="9" max="9" width="2" style="187" customWidth="1"/>
    <col min="10" max="10" width="17.7265625" style="187" customWidth="1"/>
    <col min="11" max="11" width="28.7265625" style="187" bestFit="1" customWidth="1"/>
    <col min="12" max="12" width="14" style="187" customWidth="1"/>
    <col min="13" max="13" width="11.453125" style="187"/>
    <col min="14" max="14" width="12.26953125" style="187" bestFit="1" customWidth="1"/>
    <col min="15" max="16384" width="11.453125" style="187"/>
  </cols>
  <sheetData>
    <row r="1" spans="1:15" ht="21.75" customHeight="1" thickBot="1" x14ac:dyDescent="0.45">
      <c r="A1" s="1157" t="s">
        <v>259</v>
      </c>
      <c r="B1" s="1158"/>
      <c r="C1" s="1158"/>
      <c r="D1" s="1158"/>
      <c r="E1" s="1158"/>
      <c r="F1" s="1158"/>
      <c r="G1" s="1158"/>
      <c r="H1" s="1159"/>
      <c r="I1" s="50"/>
      <c r="J1" s="48"/>
      <c r="K1" s="46"/>
    </row>
    <row r="2" spans="1:15" x14ac:dyDescent="0.25">
      <c r="A2" s="188"/>
      <c r="B2" s="188"/>
      <c r="C2" s="188"/>
      <c r="D2" s="188"/>
      <c r="E2" s="188"/>
      <c r="F2" s="188"/>
      <c r="G2" s="188"/>
      <c r="H2" s="188"/>
      <c r="I2" s="50"/>
      <c r="J2" s="920"/>
      <c r="K2" s="491"/>
      <c r="L2" s="488"/>
      <c r="M2" s="488"/>
      <c r="N2" s="919"/>
      <c r="O2" s="919"/>
    </row>
    <row r="3" spans="1:15" x14ac:dyDescent="0.25">
      <c r="A3" s="188"/>
      <c r="B3" s="188"/>
      <c r="C3" s="188"/>
      <c r="D3" s="188"/>
      <c r="E3" s="188"/>
      <c r="F3" s="188"/>
      <c r="G3" s="188"/>
      <c r="H3" s="188"/>
      <c r="I3" s="50"/>
      <c r="J3" s="920"/>
      <c r="K3" s="491" t="str">
        <f>+TITELBLAD!B18</f>
        <v>Rapportering over boekjaar:</v>
      </c>
      <c r="L3" s="488">
        <f>+TITELBLAD!E18</f>
        <v>2019</v>
      </c>
      <c r="M3" s="488" t="str">
        <f>+TITELBLAD!F18</f>
        <v>ex-ante</v>
      </c>
      <c r="N3" s="919"/>
      <c r="O3" s="919"/>
    </row>
    <row r="4" spans="1:15" s="48" customFormat="1" ht="16.5" x14ac:dyDescent="0.35">
      <c r="A4" s="51"/>
      <c r="C4" s="1098" t="str">
        <f>+TITELBLAD!C7</f>
        <v>Naam distributienetbeheerder</v>
      </c>
      <c r="D4" s="1099"/>
      <c r="E4" s="1099"/>
      <c r="F4" s="1100"/>
      <c r="G4" s="50"/>
      <c r="I4" s="483"/>
      <c r="J4" s="919"/>
      <c r="K4" s="488"/>
      <c r="L4" s="483"/>
      <c r="M4" s="483"/>
      <c r="N4" s="920"/>
      <c r="O4" s="920"/>
    </row>
    <row r="5" spans="1:15" s="48" customFormat="1" ht="16.5" x14ac:dyDescent="0.35">
      <c r="A5" s="51"/>
      <c r="C5" s="1098" t="str">
        <f>+TITELBLAD!C12</f>
        <v>elektriciteit</v>
      </c>
      <c r="D5" s="1099"/>
      <c r="E5" s="1099"/>
      <c r="F5" s="1100"/>
      <c r="G5" s="50"/>
      <c r="I5" s="483"/>
      <c r="J5" s="920"/>
      <c r="K5" s="920"/>
      <c r="L5" s="920"/>
      <c r="M5" s="920"/>
      <c r="N5" s="920"/>
      <c r="O5" s="920"/>
    </row>
    <row r="6" spans="1:15" s="48" customFormat="1" ht="16.5" x14ac:dyDescent="0.35">
      <c r="A6" s="51"/>
      <c r="C6" s="1023" t="s">
        <v>30</v>
      </c>
      <c r="D6" s="1024"/>
      <c r="E6" s="1024"/>
      <c r="F6" s="1025"/>
      <c r="G6" s="50"/>
      <c r="J6" s="920"/>
      <c r="K6" s="920"/>
      <c r="L6" s="920"/>
      <c r="M6" s="920"/>
      <c r="N6" s="920"/>
      <c r="O6" s="920"/>
    </row>
    <row r="7" spans="1:15" s="48" customFormat="1" ht="71.25" customHeight="1" x14ac:dyDescent="0.25">
      <c r="A7" s="1160"/>
      <c r="B7" s="1161"/>
      <c r="C7" s="232">
        <v>2017</v>
      </c>
      <c r="D7" s="232">
        <v>2018</v>
      </c>
      <c r="E7" s="232">
        <v>2019</v>
      </c>
      <c r="F7" s="232">
        <v>2020</v>
      </c>
      <c r="G7" s="50"/>
      <c r="J7" s="920"/>
      <c r="K7" s="920"/>
      <c r="L7" s="920"/>
      <c r="M7" s="920"/>
      <c r="N7" s="920"/>
      <c r="O7" s="920"/>
    </row>
    <row r="8" spans="1:15" s="48" customFormat="1" ht="62.25" customHeight="1" x14ac:dyDescent="0.25">
      <c r="A8" s="1077" t="s">
        <v>327</v>
      </c>
      <c r="B8" s="1079"/>
      <c r="C8" s="736">
        <f>SUM(C9:C16)</f>
        <v>0</v>
      </c>
      <c r="D8" s="736">
        <f>SUM(D9:D16)</f>
        <v>0</v>
      </c>
      <c r="E8" s="736">
        <f>SUM(E9:E16)</f>
        <v>0</v>
      </c>
      <c r="F8" s="736">
        <f>SUM(F9:F16)</f>
        <v>0</v>
      </c>
      <c r="G8" s="50"/>
      <c r="J8" s="920"/>
      <c r="K8" s="920"/>
      <c r="L8" s="920"/>
      <c r="M8" s="920"/>
      <c r="N8" s="920"/>
      <c r="O8" s="920"/>
    </row>
    <row r="9" spans="1:15" s="48" customFormat="1" ht="22.5" customHeight="1" x14ac:dyDescent="0.25">
      <c r="A9" s="1148" t="s">
        <v>215</v>
      </c>
      <c r="B9" s="1149"/>
      <c r="C9" s="917">
        <v>0</v>
      </c>
      <c r="D9" s="917">
        <v>0</v>
      </c>
      <c r="E9" s="917">
        <v>0</v>
      </c>
      <c r="F9" s="917">
        <v>0</v>
      </c>
      <c r="G9" s="50"/>
      <c r="J9" s="920"/>
      <c r="K9" s="920"/>
      <c r="L9" s="920"/>
      <c r="M9" s="920"/>
      <c r="N9" s="920"/>
      <c r="O9" s="920"/>
    </row>
    <row r="10" spans="1:15" s="48" customFormat="1" ht="21" customHeight="1" x14ac:dyDescent="0.25">
      <c r="A10" s="1148" t="s">
        <v>216</v>
      </c>
      <c r="B10" s="1149"/>
      <c r="C10" s="917">
        <v>0</v>
      </c>
      <c r="D10" s="917">
        <v>0</v>
      </c>
      <c r="E10" s="917">
        <v>0</v>
      </c>
      <c r="F10" s="917">
        <v>0</v>
      </c>
      <c r="G10" s="50"/>
    </row>
    <row r="11" spans="1:15" s="48" customFormat="1" ht="21" customHeight="1" x14ac:dyDescent="0.25">
      <c r="A11" s="1148" t="s">
        <v>217</v>
      </c>
      <c r="B11" s="1149"/>
      <c r="C11" s="917">
        <v>0</v>
      </c>
      <c r="D11" s="917">
        <v>0</v>
      </c>
      <c r="E11" s="917">
        <v>0</v>
      </c>
      <c r="F11" s="917">
        <v>0</v>
      </c>
      <c r="G11" s="50"/>
    </row>
    <row r="12" spans="1:15" s="48" customFormat="1" ht="21.75" customHeight="1" x14ac:dyDescent="0.25">
      <c r="A12" s="1148" t="s">
        <v>218</v>
      </c>
      <c r="B12" s="1149"/>
      <c r="C12" s="917">
        <v>0</v>
      </c>
      <c r="D12" s="917">
        <v>0</v>
      </c>
      <c r="E12" s="917">
        <v>0</v>
      </c>
      <c r="F12" s="917">
        <v>0</v>
      </c>
      <c r="G12" s="50"/>
    </row>
    <row r="13" spans="1:15" s="48" customFormat="1" ht="35.25" customHeight="1" x14ac:dyDescent="0.25">
      <c r="A13" s="1148" t="s">
        <v>219</v>
      </c>
      <c r="B13" s="1149"/>
      <c r="C13" s="917">
        <v>0</v>
      </c>
      <c r="D13" s="917">
        <v>0</v>
      </c>
      <c r="E13" s="917">
        <v>0</v>
      </c>
      <c r="F13" s="917">
        <v>0</v>
      </c>
      <c r="G13" s="50"/>
    </row>
    <row r="14" spans="1:15" s="48" customFormat="1" ht="30.75" customHeight="1" x14ac:dyDescent="0.25">
      <c r="A14" s="1148" t="s">
        <v>220</v>
      </c>
      <c r="B14" s="1149"/>
      <c r="C14" s="917">
        <v>0</v>
      </c>
      <c r="D14" s="917">
        <v>0</v>
      </c>
      <c r="E14" s="917">
        <v>0</v>
      </c>
      <c r="F14" s="917">
        <v>0</v>
      </c>
      <c r="G14" s="50"/>
    </row>
    <row r="15" spans="1:15" s="48" customFormat="1" ht="33" customHeight="1" x14ac:dyDescent="0.25">
      <c r="A15" s="1148" t="s">
        <v>221</v>
      </c>
      <c r="B15" s="1149"/>
      <c r="C15" s="917">
        <v>0</v>
      </c>
      <c r="D15" s="917">
        <v>0</v>
      </c>
      <c r="E15" s="917">
        <v>0</v>
      </c>
      <c r="F15" s="917">
        <v>0</v>
      </c>
      <c r="G15" s="50"/>
    </row>
    <row r="16" spans="1:15" s="48" customFormat="1" ht="35.25" customHeight="1" x14ac:dyDescent="0.25">
      <c r="A16" s="1148" t="s">
        <v>222</v>
      </c>
      <c r="B16" s="1149"/>
      <c r="C16" s="917">
        <v>0</v>
      </c>
      <c r="D16" s="917">
        <v>0</v>
      </c>
      <c r="E16" s="917">
        <v>0</v>
      </c>
      <c r="F16" s="917">
        <v>0</v>
      </c>
      <c r="G16" s="50"/>
    </row>
    <row r="17" spans="1:7" s="48" customFormat="1" ht="10.5" customHeight="1" x14ac:dyDescent="0.25">
      <c r="A17" s="733"/>
      <c r="B17" s="734"/>
      <c r="C17" s="490"/>
      <c r="D17" s="490"/>
      <c r="E17" s="490"/>
      <c r="F17" s="490"/>
      <c r="G17" s="50"/>
    </row>
    <row r="18" spans="1:7" s="48" customFormat="1" ht="87" customHeight="1" x14ac:dyDescent="0.25">
      <c r="A18" s="1074" t="s">
        <v>328</v>
      </c>
      <c r="B18" s="1076"/>
      <c r="C18" s="489"/>
      <c r="D18" s="489"/>
      <c r="E18" s="489"/>
      <c r="F18" s="489"/>
      <c r="G18" s="50"/>
    </row>
    <row r="19" spans="1:7" s="48" customFormat="1" ht="24" customHeight="1" x14ac:dyDescent="0.25">
      <c r="A19" s="1148" t="s">
        <v>215</v>
      </c>
      <c r="B19" s="1149"/>
      <c r="C19" s="822">
        <v>0</v>
      </c>
      <c r="D19" s="822">
        <v>0</v>
      </c>
      <c r="E19" s="822">
        <v>0</v>
      </c>
      <c r="F19" s="822">
        <v>0</v>
      </c>
      <c r="G19" s="50"/>
    </row>
    <row r="20" spans="1:7" s="48" customFormat="1" ht="10.5" customHeight="1" x14ac:dyDescent="0.25">
      <c r="A20" s="1154"/>
      <c r="B20" s="1155"/>
      <c r="C20" s="489"/>
      <c r="D20" s="489"/>
      <c r="E20" s="489"/>
      <c r="F20" s="489"/>
      <c r="G20" s="50"/>
    </row>
    <row r="21" spans="1:7" s="48" customFormat="1" ht="62.25" customHeight="1" x14ac:dyDescent="0.25">
      <c r="A21" s="1077" t="s">
        <v>346</v>
      </c>
      <c r="B21" s="1079"/>
      <c r="C21" s="736"/>
      <c r="D21" s="736">
        <f>SUM(D22:D29)</f>
        <v>0</v>
      </c>
      <c r="E21" s="736">
        <f>SUM(E22:E29)</f>
        <v>0</v>
      </c>
      <c r="F21" s="736">
        <f>SUM(F22:F29)</f>
        <v>0</v>
      </c>
      <c r="G21" s="50"/>
    </row>
    <row r="22" spans="1:7" s="48" customFormat="1" ht="22.5" customHeight="1" x14ac:dyDescent="0.25">
      <c r="A22" s="1148" t="s">
        <v>215</v>
      </c>
      <c r="B22" s="1149"/>
      <c r="C22" s="490"/>
      <c r="D22" s="723">
        <v>0</v>
      </c>
      <c r="E22" s="723">
        <v>0</v>
      </c>
      <c r="F22" s="723">
        <v>0</v>
      </c>
      <c r="G22" s="50"/>
    </row>
    <row r="23" spans="1:7" s="48" customFormat="1" ht="21" customHeight="1" x14ac:dyDescent="0.25">
      <c r="A23" s="1148" t="s">
        <v>216</v>
      </c>
      <c r="B23" s="1149"/>
      <c r="C23" s="490"/>
      <c r="D23" s="723">
        <v>0</v>
      </c>
      <c r="E23" s="723">
        <v>0</v>
      </c>
      <c r="F23" s="723">
        <v>0</v>
      </c>
      <c r="G23" s="50"/>
    </row>
    <row r="24" spans="1:7" s="48" customFormat="1" ht="21" customHeight="1" x14ac:dyDescent="0.25">
      <c r="A24" s="1148" t="s">
        <v>217</v>
      </c>
      <c r="B24" s="1149"/>
      <c r="C24" s="490"/>
      <c r="D24" s="723">
        <v>0</v>
      </c>
      <c r="E24" s="723">
        <v>0</v>
      </c>
      <c r="F24" s="723">
        <v>0</v>
      </c>
      <c r="G24" s="50"/>
    </row>
    <row r="25" spans="1:7" s="48" customFormat="1" ht="21.75" customHeight="1" x14ac:dyDescent="0.25">
      <c r="A25" s="1148" t="s">
        <v>218</v>
      </c>
      <c r="B25" s="1149"/>
      <c r="C25" s="490"/>
      <c r="D25" s="723">
        <v>0</v>
      </c>
      <c r="E25" s="723">
        <v>0</v>
      </c>
      <c r="F25" s="723">
        <v>0</v>
      </c>
      <c r="G25" s="50"/>
    </row>
    <row r="26" spans="1:7" s="48" customFormat="1" ht="35.25" customHeight="1" x14ac:dyDescent="0.25">
      <c r="A26" s="1148" t="s">
        <v>219</v>
      </c>
      <c r="B26" s="1149"/>
      <c r="C26" s="490"/>
      <c r="D26" s="723">
        <v>0</v>
      </c>
      <c r="E26" s="723">
        <v>0</v>
      </c>
      <c r="F26" s="723">
        <v>0</v>
      </c>
      <c r="G26" s="50"/>
    </row>
    <row r="27" spans="1:7" s="48" customFormat="1" ht="30.75" customHeight="1" x14ac:dyDescent="0.25">
      <c r="A27" s="1148" t="s">
        <v>220</v>
      </c>
      <c r="B27" s="1149"/>
      <c r="C27" s="490"/>
      <c r="D27" s="723">
        <v>0</v>
      </c>
      <c r="E27" s="723">
        <v>0</v>
      </c>
      <c r="F27" s="723">
        <v>0</v>
      </c>
      <c r="G27" s="50"/>
    </row>
    <row r="28" spans="1:7" s="48" customFormat="1" ht="33" customHeight="1" x14ac:dyDescent="0.25">
      <c r="A28" s="1148" t="s">
        <v>221</v>
      </c>
      <c r="B28" s="1149"/>
      <c r="C28" s="490"/>
      <c r="D28" s="723">
        <v>0</v>
      </c>
      <c r="E28" s="723">
        <v>0</v>
      </c>
      <c r="F28" s="723">
        <v>0</v>
      </c>
      <c r="G28" s="50"/>
    </row>
    <row r="29" spans="1:7" s="48" customFormat="1" ht="35.25" customHeight="1" x14ac:dyDescent="0.25">
      <c r="A29" s="1148" t="s">
        <v>222</v>
      </c>
      <c r="B29" s="1149"/>
      <c r="C29" s="490"/>
      <c r="D29" s="723">
        <v>0</v>
      </c>
      <c r="E29" s="723">
        <v>0</v>
      </c>
      <c r="F29" s="723">
        <v>0</v>
      </c>
      <c r="G29" s="50"/>
    </row>
    <row r="30" spans="1:7" s="48" customFormat="1" ht="10.5" customHeight="1" x14ac:dyDescent="0.25">
      <c r="A30" s="1154"/>
      <c r="B30" s="1155"/>
      <c r="C30" s="489"/>
      <c r="D30" s="489"/>
      <c r="E30" s="489"/>
      <c r="F30" s="489"/>
      <c r="G30" s="50"/>
    </row>
    <row r="31" spans="1:7" s="48" customFormat="1" ht="62.25" customHeight="1" x14ac:dyDescent="0.25">
      <c r="A31" s="1077" t="s">
        <v>359</v>
      </c>
      <c r="B31" s="1079"/>
      <c r="C31" s="736"/>
      <c r="D31" s="736">
        <f>SUM(D32:D39)</f>
        <v>0</v>
      </c>
      <c r="E31" s="736">
        <f>SUM(E32:E39)</f>
        <v>0</v>
      </c>
      <c r="F31" s="736">
        <f>SUM(F32:F39)</f>
        <v>0</v>
      </c>
      <c r="G31" s="50"/>
    </row>
    <row r="32" spans="1:7" s="48" customFormat="1" ht="22.5" customHeight="1" x14ac:dyDescent="0.25">
      <c r="A32" s="1148" t="s">
        <v>215</v>
      </c>
      <c r="B32" s="1149"/>
      <c r="C32" s="490"/>
      <c r="D32" s="723">
        <v>0</v>
      </c>
      <c r="E32" s="723">
        <v>0</v>
      </c>
      <c r="F32" s="723">
        <v>0</v>
      </c>
      <c r="G32" s="50"/>
    </row>
    <row r="33" spans="1:7" s="48" customFormat="1" ht="21" customHeight="1" x14ac:dyDescent="0.25">
      <c r="A33" s="1148" t="s">
        <v>216</v>
      </c>
      <c r="B33" s="1149"/>
      <c r="C33" s="490"/>
      <c r="D33" s="723">
        <v>0</v>
      </c>
      <c r="E33" s="723">
        <v>0</v>
      </c>
      <c r="F33" s="723">
        <v>0</v>
      </c>
      <c r="G33" s="50"/>
    </row>
    <row r="34" spans="1:7" s="48" customFormat="1" ht="21" customHeight="1" x14ac:dyDescent="0.25">
      <c r="A34" s="1148" t="s">
        <v>217</v>
      </c>
      <c r="B34" s="1149"/>
      <c r="C34" s="490"/>
      <c r="D34" s="723">
        <v>0</v>
      </c>
      <c r="E34" s="723">
        <v>0</v>
      </c>
      <c r="F34" s="723">
        <v>0</v>
      </c>
      <c r="G34" s="50"/>
    </row>
    <row r="35" spans="1:7" s="48" customFormat="1" ht="21.75" customHeight="1" x14ac:dyDescent="0.25">
      <c r="A35" s="1148" t="s">
        <v>218</v>
      </c>
      <c r="B35" s="1149"/>
      <c r="C35" s="490"/>
      <c r="D35" s="723">
        <v>0</v>
      </c>
      <c r="E35" s="723">
        <v>0</v>
      </c>
      <c r="F35" s="723">
        <v>0</v>
      </c>
      <c r="G35" s="50"/>
    </row>
    <row r="36" spans="1:7" s="48" customFormat="1" ht="35.25" customHeight="1" x14ac:dyDescent="0.25">
      <c r="A36" s="1148" t="s">
        <v>219</v>
      </c>
      <c r="B36" s="1149"/>
      <c r="C36" s="490"/>
      <c r="D36" s="723">
        <v>0</v>
      </c>
      <c r="E36" s="723">
        <v>0</v>
      </c>
      <c r="F36" s="723">
        <v>0</v>
      </c>
      <c r="G36" s="50"/>
    </row>
    <row r="37" spans="1:7" s="48" customFormat="1" ht="30.75" customHeight="1" x14ac:dyDescent="0.25">
      <c r="A37" s="1148" t="s">
        <v>220</v>
      </c>
      <c r="B37" s="1149"/>
      <c r="C37" s="490"/>
      <c r="D37" s="723">
        <v>0</v>
      </c>
      <c r="E37" s="723">
        <v>0</v>
      </c>
      <c r="F37" s="723">
        <v>0</v>
      </c>
      <c r="G37" s="50"/>
    </row>
    <row r="38" spans="1:7" s="48" customFormat="1" ht="33" customHeight="1" x14ac:dyDescent="0.25">
      <c r="A38" s="1148" t="s">
        <v>221</v>
      </c>
      <c r="B38" s="1149"/>
      <c r="C38" s="490"/>
      <c r="D38" s="723">
        <v>0</v>
      </c>
      <c r="E38" s="723">
        <v>0</v>
      </c>
      <c r="F38" s="723">
        <v>0</v>
      </c>
      <c r="G38" s="50"/>
    </row>
    <row r="39" spans="1:7" s="48" customFormat="1" ht="35.25" customHeight="1" x14ac:dyDescent="0.25">
      <c r="A39" s="1148" t="s">
        <v>222</v>
      </c>
      <c r="B39" s="1149"/>
      <c r="C39" s="490"/>
      <c r="D39" s="723">
        <v>0</v>
      </c>
      <c r="E39" s="723">
        <v>0</v>
      </c>
      <c r="F39" s="723">
        <v>0</v>
      </c>
      <c r="G39" s="50"/>
    </row>
    <row r="40" spans="1:7" s="48" customFormat="1" ht="10.5" customHeight="1" x14ac:dyDescent="0.25">
      <c r="A40" s="866"/>
      <c r="B40" s="867"/>
      <c r="C40" s="489"/>
      <c r="D40" s="489"/>
      <c r="E40" s="489"/>
      <c r="F40" s="489"/>
      <c r="G40" s="50"/>
    </row>
    <row r="41" spans="1:7" s="48" customFormat="1" ht="64.5" customHeight="1" x14ac:dyDescent="0.25">
      <c r="A41" s="1074" t="s">
        <v>330</v>
      </c>
      <c r="B41" s="1076"/>
      <c r="C41" s="914">
        <v>0</v>
      </c>
      <c r="D41" s="914">
        <v>0</v>
      </c>
      <c r="E41" s="914">
        <v>0</v>
      </c>
      <c r="F41" s="914">
        <v>0</v>
      </c>
      <c r="G41" s="50"/>
    </row>
    <row r="42" spans="1:7" s="48" customFormat="1" ht="33" customHeight="1" x14ac:dyDescent="0.25">
      <c r="A42" s="1074" t="s">
        <v>329</v>
      </c>
      <c r="B42" s="1076"/>
      <c r="C42" s="914">
        <v>0</v>
      </c>
      <c r="D42" s="914">
        <v>0</v>
      </c>
      <c r="E42" s="914">
        <v>0</v>
      </c>
      <c r="F42" s="914">
        <v>0</v>
      </c>
      <c r="G42" s="50"/>
    </row>
    <row r="43" spans="1:7" s="48" customFormat="1" ht="36.75" customHeight="1" x14ac:dyDescent="0.25">
      <c r="A43" s="1074" t="s">
        <v>260</v>
      </c>
      <c r="B43" s="1076"/>
      <c r="C43" s="823"/>
      <c r="D43" s="821">
        <v>0</v>
      </c>
      <c r="E43" s="823">
        <f>+D43</f>
        <v>0</v>
      </c>
      <c r="F43" s="823">
        <f>+E43</f>
        <v>0</v>
      </c>
      <c r="G43" s="50"/>
    </row>
    <row r="44" spans="1:7" s="48" customFormat="1" ht="21" customHeight="1" x14ac:dyDescent="0.25">
      <c r="A44" s="1152" t="s">
        <v>261</v>
      </c>
      <c r="B44" s="1153"/>
      <c r="C44" s="490"/>
      <c r="D44" s="490">
        <v>0</v>
      </c>
      <c r="E44" s="490">
        <v>0</v>
      </c>
      <c r="F44" s="490">
        <v>0</v>
      </c>
      <c r="G44" s="50"/>
    </row>
    <row r="45" spans="1:7" s="48" customFormat="1" ht="14.25" customHeight="1" x14ac:dyDescent="0.25">
      <c r="A45" s="1154"/>
      <c r="B45" s="1155"/>
      <c r="C45" s="489"/>
      <c r="D45" s="489"/>
      <c r="E45" s="489"/>
      <c r="F45" s="489"/>
      <c r="G45" s="50"/>
    </row>
    <row r="46" spans="1:7" s="48" customFormat="1" ht="29.25" customHeight="1" x14ac:dyDescent="0.25">
      <c r="A46" s="806"/>
      <c r="B46" s="807"/>
      <c r="C46" s="824">
        <f>+C7</f>
        <v>2017</v>
      </c>
      <c r="D46" s="824">
        <f>+D7</f>
        <v>2018</v>
      </c>
      <c r="E46" s="824">
        <f>+E7</f>
        <v>2019</v>
      </c>
      <c r="F46" s="824">
        <f>+F7</f>
        <v>2020</v>
      </c>
      <c r="G46" s="50"/>
    </row>
    <row r="47" spans="1:7" s="48" customFormat="1" ht="24" customHeight="1" x14ac:dyDescent="0.25">
      <c r="A47" s="1089" t="s">
        <v>331</v>
      </c>
      <c r="B47" s="1091"/>
      <c r="C47" s="489">
        <f>SUM(C48:C55)</f>
        <v>0</v>
      </c>
      <c r="D47" s="442">
        <f>SUM(D48:D55)</f>
        <v>0</v>
      </c>
      <c r="E47" s="442">
        <f>SUM(E48:E55)</f>
        <v>0</v>
      </c>
      <c r="F47" s="442">
        <f>SUM(F48:F55)</f>
        <v>0</v>
      </c>
      <c r="G47" s="50"/>
    </row>
    <row r="48" spans="1:7" s="48" customFormat="1" ht="32.25" customHeight="1" x14ac:dyDescent="0.25">
      <c r="A48" s="1150" t="s">
        <v>215</v>
      </c>
      <c r="B48" s="1151"/>
      <c r="C48" s="915">
        <f>(C9-C19)*(((1+C42)/(1+C41))-1)</f>
        <v>0</v>
      </c>
      <c r="D48" s="916">
        <f>(D9-D19-D22+D32)*(((1+$D$42-$D$43+$D$44)/(1+$D$41-$D$43+$D$44))-1)</f>
        <v>0</v>
      </c>
      <c r="E48" s="916">
        <f>(E9-E19-E22+E32)*(((1+$E$42-$E$43+$E$44)/(1+$E$41-$E$43+$E$44))-1)</f>
        <v>0</v>
      </c>
      <c r="F48" s="916">
        <f>(F9-F19-F22+F32)*(((1+$F$42-$F$43+$F$44)/(1+$F$41-$F$43+$F$44))-1)</f>
        <v>0</v>
      </c>
      <c r="G48" s="50"/>
    </row>
    <row r="49" spans="1:27" s="48" customFormat="1" ht="30.75" customHeight="1" x14ac:dyDescent="0.25">
      <c r="A49" s="1150" t="s">
        <v>216</v>
      </c>
      <c r="B49" s="1151"/>
      <c r="C49" s="915">
        <f>+C10*(((1+$C$42)/(1+$C$41))-1)</f>
        <v>0</v>
      </c>
      <c r="D49" s="916">
        <f>(D10-D23+D33)*(((1+$D$42-$D$43+$D$44)/(1+$D$41-$D$43+$D$44))-1)</f>
        <v>0</v>
      </c>
      <c r="E49" s="916">
        <f>(E10-E23+E33)*(((1+$E$42-$E$43+$E$44)/(1+$E$41-$E$43+$E$44))-1)</f>
        <v>0</v>
      </c>
      <c r="F49" s="916">
        <f>(F10-F23+F33)*(((1+$F$42-$F$43+$F$44)/(1+$F$41-$F$43+$F$44))-1)</f>
        <v>0</v>
      </c>
      <c r="G49" s="50"/>
    </row>
    <row r="50" spans="1:27" s="48" customFormat="1" ht="21" customHeight="1" x14ac:dyDescent="0.25">
      <c r="A50" s="1150" t="s">
        <v>217</v>
      </c>
      <c r="B50" s="1151"/>
      <c r="C50" s="915">
        <f t="shared" ref="C50:C55" si="0">+C11*(((1+$C$42)/(1+$C$41))-1)</f>
        <v>0</v>
      </c>
      <c r="D50" s="916">
        <f t="shared" ref="D50:D55" si="1">(D11-D24+D34)*(((1+$D$42-$D$43+$D$44)/(1+$D$41-$D$43+$D$44))-1)</f>
        <v>0</v>
      </c>
      <c r="E50" s="916">
        <f t="shared" ref="E50:E55" si="2">(E11-E24+E34)*(((1+$E$42-$E$43+$E$44)/(1+$E$41-$E$43+$E$44))-1)</f>
        <v>0</v>
      </c>
      <c r="F50" s="916">
        <f t="shared" ref="F50:F55" si="3">(F11-F24+F34)*(((1+$F$42-$F$43+$F$44)/(1+$F$41-$F$43+$F$44))-1)</f>
        <v>0</v>
      </c>
      <c r="G50" s="50"/>
    </row>
    <row r="51" spans="1:27" s="48" customFormat="1" ht="22.5" customHeight="1" x14ac:dyDescent="0.25">
      <c r="A51" s="1150" t="s">
        <v>218</v>
      </c>
      <c r="B51" s="1151"/>
      <c r="C51" s="915">
        <f t="shared" si="0"/>
        <v>0</v>
      </c>
      <c r="D51" s="916">
        <f t="shared" si="1"/>
        <v>0</v>
      </c>
      <c r="E51" s="916">
        <f t="shared" si="2"/>
        <v>0</v>
      </c>
      <c r="F51" s="916">
        <f t="shared" si="3"/>
        <v>0</v>
      </c>
      <c r="G51" s="50"/>
    </row>
    <row r="52" spans="1:27" s="48" customFormat="1" ht="35.25" customHeight="1" x14ac:dyDescent="0.25">
      <c r="A52" s="1150" t="s">
        <v>219</v>
      </c>
      <c r="B52" s="1151"/>
      <c r="C52" s="915">
        <f t="shared" si="0"/>
        <v>0</v>
      </c>
      <c r="D52" s="916">
        <f t="shared" si="1"/>
        <v>0</v>
      </c>
      <c r="E52" s="916">
        <f t="shared" si="2"/>
        <v>0</v>
      </c>
      <c r="F52" s="916">
        <f t="shared" si="3"/>
        <v>0</v>
      </c>
      <c r="G52" s="50"/>
    </row>
    <row r="53" spans="1:27" s="48" customFormat="1" ht="30.75" customHeight="1" x14ac:dyDescent="0.25">
      <c r="A53" s="1150" t="s">
        <v>220</v>
      </c>
      <c r="B53" s="1151"/>
      <c r="C53" s="915">
        <f t="shared" si="0"/>
        <v>0</v>
      </c>
      <c r="D53" s="916">
        <f t="shared" si="1"/>
        <v>0</v>
      </c>
      <c r="E53" s="916">
        <f t="shared" si="2"/>
        <v>0</v>
      </c>
      <c r="F53" s="916">
        <f t="shared" si="3"/>
        <v>0</v>
      </c>
      <c r="G53" s="50"/>
    </row>
    <row r="54" spans="1:27" s="48" customFormat="1" ht="33" customHeight="1" x14ac:dyDescent="0.25">
      <c r="A54" s="1150" t="s">
        <v>221</v>
      </c>
      <c r="B54" s="1151"/>
      <c r="C54" s="915">
        <f t="shared" si="0"/>
        <v>0</v>
      </c>
      <c r="D54" s="916">
        <f t="shared" si="1"/>
        <v>0</v>
      </c>
      <c r="E54" s="916">
        <f t="shared" si="2"/>
        <v>0</v>
      </c>
      <c r="F54" s="916">
        <f t="shared" si="3"/>
        <v>0</v>
      </c>
      <c r="G54" s="50"/>
    </row>
    <row r="55" spans="1:27" s="48" customFormat="1" ht="35.25" customHeight="1" x14ac:dyDescent="0.25">
      <c r="A55" s="1150" t="s">
        <v>222</v>
      </c>
      <c r="B55" s="1151"/>
      <c r="C55" s="915">
        <f t="shared" si="0"/>
        <v>0</v>
      </c>
      <c r="D55" s="916">
        <f t="shared" si="1"/>
        <v>0</v>
      </c>
      <c r="E55" s="916">
        <f t="shared" si="2"/>
        <v>0</v>
      </c>
      <c r="F55" s="916">
        <f t="shared" si="3"/>
        <v>0</v>
      </c>
      <c r="G55" s="50"/>
    </row>
    <row r="56" spans="1:27" s="48" customFormat="1" ht="13" x14ac:dyDescent="0.3">
      <c r="A56" s="51"/>
      <c r="C56" s="194" t="s">
        <v>338</v>
      </c>
      <c r="I56" s="50"/>
    </row>
    <row r="57" spans="1:27" s="48" customFormat="1" ht="13" x14ac:dyDescent="0.3">
      <c r="A57" s="51"/>
      <c r="C57" s="196" t="s">
        <v>263</v>
      </c>
      <c r="I57" s="50"/>
    </row>
    <row r="58" spans="1:27" s="48" customFormat="1" ht="13" x14ac:dyDescent="0.25">
      <c r="A58" s="51"/>
      <c r="C58" s="50"/>
      <c r="I58" s="50"/>
    </row>
    <row r="59" spans="1:27" ht="14.25" customHeight="1" thickBot="1" x14ac:dyDescent="0.45">
      <c r="A59" s="233"/>
      <c r="B59" s="234"/>
      <c r="C59" s="234"/>
      <c r="D59" s="234"/>
      <c r="E59" s="234"/>
      <c r="F59" s="234"/>
      <c r="G59" s="234"/>
      <c r="H59" s="234"/>
      <c r="I59" s="189"/>
      <c r="J59" s="189"/>
    </row>
    <row r="60" spans="1:27" s="190" customFormat="1" ht="24" customHeight="1" thickBot="1" x14ac:dyDescent="0.4">
      <c r="A60" s="1040" t="s">
        <v>271</v>
      </c>
      <c r="B60" s="1041"/>
      <c r="C60" s="1041"/>
      <c r="D60" s="1041"/>
      <c r="E60" s="1041"/>
      <c r="F60" s="1041"/>
      <c r="G60" s="1041"/>
      <c r="H60" s="1042"/>
      <c r="I60" s="189"/>
      <c r="J60" s="189"/>
      <c r="K60" s="187"/>
      <c r="L60" s="187"/>
      <c r="M60" s="187"/>
      <c r="N60" s="187"/>
      <c r="O60" s="187"/>
      <c r="P60" s="187"/>
      <c r="Q60" s="187"/>
      <c r="R60" s="187"/>
      <c r="S60" s="187"/>
      <c r="T60" s="187"/>
      <c r="U60" s="187"/>
      <c r="V60" s="187"/>
      <c r="W60" s="187"/>
      <c r="X60" s="187"/>
      <c r="Y60" s="187"/>
      <c r="Z60" s="187"/>
      <c r="AA60" s="187"/>
    </row>
    <row r="61" spans="1:27" ht="13" thickBot="1" x14ac:dyDescent="0.3"/>
    <row r="62" spans="1:27" s="190" customFormat="1" ht="17" thickBot="1" x14ac:dyDescent="0.4">
      <c r="A62" s="187"/>
      <c r="B62" s="187"/>
      <c r="C62" s="1043" t="s">
        <v>43</v>
      </c>
      <c r="D62" s="1044"/>
      <c r="E62" s="1044"/>
      <c r="F62" s="1045"/>
      <c r="G62" s="187"/>
      <c r="H62" s="187"/>
      <c r="I62" s="187"/>
      <c r="J62" s="187"/>
      <c r="K62" s="187"/>
      <c r="L62" s="187"/>
      <c r="M62" s="187"/>
      <c r="N62" s="187"/>
      <c r="O62" s="187"/>
      <c r="P62" s="187"/>
      <c r="Q62" s="187"/>
      <c r="R62" s="187"/>
      <c r="S62" s="187"/>
      <c r="T62" s="187"/>
      <c r="U62" s="187"/>
      <c r="V62" s="187"/>
      <c r="W62" s="187"/>
      <c r="X62" s="187"/>
      <c r="Y62" s="187"/>
      <c r="Z62" s="187"/>
      <c r="AA62" s="187"/>
    </row>
    <row r="63" spans="1:27" s="190" customFormat="1" ht="13.5" thickBot="1" x14ac:dyDescent="0.35">
      <c r="A63" s="187"/>
      <c r="B63" s="187"/>
      <c r="C63" s="191">
        <f>+C7</f>
        <v>2017</v>
      </c>
      <c r="D63" s="192">
        <f>+D7</f>
        <v>2018</v>
      </c>
      <c r="E63" s="192">
        <f>+E7</f>
        <v>2019</v>
      </c>
      <c r="F63" s="192">
        <f>+F7</f>
        <v>2020</v>
      </c>
      <c r="G63" s="187"/>
      <c r="H63" s="187"/>
      <c r="I63" s="187"/>
      <c r="J63" s="187"/>
      <c r="K63" s="187"/>
      <c r="L63" s="187"/>
      <c r="M63" s="187"/>
      <c r="N63" s="187"/>
      <c r="O63" s="187"/>
      <c r="P63" s="187"/>
      <c r="Q63" s="187"/>
      <c r="R63" s="187"/>
      <c r="S63" s="187"/>
      <c r="T63" s="187"/>
      <c r="U63" s="187"/>
      <c r="V63" s="187"/>
      <c r="W63" s="187"/>
      <c r="X63" s="187"/>
      <c r="Y63" s="187"/>
      <c r="Z63" s="187"/>
      <c r="AA63" s="187"/>
    </row>
    <row r="64" spans="1:27" s="190" customFormat="1" x14ac:dyDescent="0.25">
      <c r="A64" s="187"/>
      <c r="B64" s="187"/>
      <c r="C64" s="467">
        <v>0</v>
      </c>
      <c r="D64" s="467">
        <v>0</v>
      </c>
      <c r="E64" s="467">
        <v>0</v>
      </c>
      <c r="F64" s="467">
        <v>0</v>
      </c>
      <c r="G64" s="187"/>
      <c r="H64" s="187"/>
      <c r="I64" s="187"/>
      <c r="J64" s="187"/>
      <c r="K64" s="187"/>
      <c r="L64" s="187"/>
      <c r="M64" s="187"/>
      <c r="N64" s="187"/>
      <c r="O64" s="187"/>
      <c r="P64" s="187"/>
      <c r="Q64" s="187"/>
      <c r="R64" s="187"/>
      <c r="S64" s="187"/>
      <c r="T64" s="187"/>
      <c r="U64" s="187"/>
      <c r="V64" s="187"/>
      <c r="W64" s="187"/>
      <c r="X64" s="187"/>
      <c r="Y64" s="187"/>
      <c r="Z64" s="187"/>
      <c r="AA64" s="187"/>
    </row>
    <row r="65" spans="1:27" ht="13" x14ac:dyDescent="0.3">
      <c r="C65" s="194" t="s">
        <v>338</v>
      </c>
      <c r="F65" s="195"/>
    </row>
    <row r="66" spans="1:27" ht="13" x14ac:dyDescent="0.3">
      <c r="C66" s="196" t="s">
        <v>263</v>
      </c>
    </row>
    <row r="67" spans="1:27" ht="13" x14ac:dyDescent="0.3">
      <c r="C67" s="197"/>
    </row>
    <row r="68" spans="1:27" ht="13.5" thickBot="1" x14ac:dyDescent="0.35">
      <c r="C68" s="197"/>
    </row>
    <row r="69" spans="1:27" s="739" customFormat="1" ht="20.25" customHeight="1" thickBot="1" x14ac:dyDescent="0.3">
      <c r="A69" s="1046" t="s">
        <v>29</v>
      </c>
      <c r="B69" s="1047"/>
      <c r="C69" s="1047"/>
      <c r="D69" s="1047"/>
      <c r="E69" s="1047"/>
      <c r="F69" s="1047"/>
      <c r="G69" s="1047"/>
      <c r="H69" s="1048"/>
      <c r="I69" s="1156"/>
      <c r="J69" s="1156"/>
    </row>
    <row r="71" spans="1:27" ht="13" x14ac:dyDescent="0.3">
      <c r="C71" s="194" t="s">
        <v>338</v>
      </c>
    </row>
    <row r="72" spans="1:27" ht="13" x14ac:dyDescent="0.3">
      <c r="C72" s="196" t="s">
        <v>263</v>
      </c>
    </row>
    <row r="73" spans="1:27" ht="16.5" x14ac:dyDescent="0.35">
      <c r="C73" s="1023" t="s">
        <v>30</v>
      </c>
      <c r="D73" s="1024"/>
      <c r="E73" s="1024"/>
      <c r="F73" s="1025"/>
      <c r="H73" s="200" t="s">
        <v>31</v>
      </c>
    </row>
    <row r="74" spans="1:27" ht="13.5" thickBot="1" x14ac:dyDescent="0.35">
      <c r="A74" s="1035"/>
      <c r="B74" s="1035"/>
      <c r="C74" s="201">
        <f>C63</f>
        <v>2017</v>
      </c>
      <c r="D74" s="202">
        <f>D63</f>
        <v>2018</v>
      </c>
      <c r="E74" s="202">
        <f>E63</f>
        <v>2019</v>
      </c>
      <c r="F74" s="202">
        <f>F63</f>
        <v>2020</v>
      </c>
      <c r="H74" s="203"/>
    </row>
    <row r="75" spans="1:27" s="190" customFormat="1" ht="13" thickBot="1" x14ac:dyDescent="0.3">
      <c r="A75" s="1026" t="s">
        <v>32</v>
      </c>
      <c r="B75" s="204">
        <f>C63</f>
        <v>2017</v>
      </c>
      <c r="C75" s="728">
        <v>0</v>
      </c>
      <c r="D75" s="205"/>
      <c r="E75" s="205"/>
      <c r="F75" s="206"/>
      <c r="G75" s="207"/>
      <c r="H75" s="208">
        <f>SUM(C75:F75)</f>
        <v>0</v>
      </c>
      <c r="I75" s="187"/>
      <c r="J75" s="187"/>
      <c r="K75" s="187"/>
      <c r="L75" s="187"/>
      <c r="M75" s="187"/>
      <c r="N75" s="187"/>
      <c r="O75" s="187"/>
      <c r="P75" s="187"/>
      <c r="Q75" s="187"/>
      <c r="R75" s="187"/>
      <c r="S75" s="187"/>
      <c r="T75" s="187"/>
      <c r="U75" s="187"/>
      <c r="V75" s="187"/>
      <c r="W75" s="187"/>
      <c r="X75" s="187"/>
      <c r="Y75" s="187"/>
      <c r="Z75" s="187"/>
      <c r="AA75" s="187"/>
    </row>
    <row r="76" spans="1:27" s="190" customFormat="1" ht="13" thickBot="1" x14ac:dyDescent="0.3">
      <c r="A76" s="1108"/>
      <c r="B76" s="726">
        <f>D63</f>
        <v>2018</v>
      </c>
      <c r="C76" s="468">
        <f>+C64-C75</f>
        <v>0</v>
      </c>
      <c r="D76" s="669">
        <v>0</v>
      </c>
      <c r="E76" s="210"/>
      <c r="F76" s="211"/>
      <c r="G76" s="207"/>
      <c r="H76" s="208">
        <f>SUM(C76:F76)</f>
        <v>0</v>
      </c>
      <c r="I76" s="187"/>
      <c r="J76" s="187"/>
      <c r="K76" s="187"/>
      <c r="L76" s="187"/>
      <c r="M76" s="187"/>
      <c r="N76" s="187"/>
      <c r="O76" s="187"/>
      <c r="P76" s="187"/>
      <c r="Q76" s="187"/>
      <c r="R76" s="187"/>
      <c r="S76" s="187"/>
      <c r="T76" s="187"/>
      <c r="U76" s="187"/>
      <c r="V76" s="187"/>
      <c r="W76" s="187"/>
      <c r="X76" s="187"/>
      <c r="Y76" s="187"/>
      <c r="Z76" s="187"/>
      <c r="AA76" s="187"/>
    </row>
    <row r="77" spans="1:27" s="190" customFormat="1" ht="13" thickBot="1" x14ac:dyDescent="0.3">
      <c r="A77" s="1108"/>
      <c r="B77" s="726">
        <f>E63</f>
        <v>2019</v>
      </c>
      <c r="C77" s="729"/>
      <c r="D77" s="468">
        <f>+D64-D76</f>
        <v>0</v>
      </c>
      <c r="E77" s="669">
        <v>0</v>
      </c>
      <c r="F77" s="211"/>
      <c r="G77" s="207"/>
      <c r="H77" s="208">
        <f>SUM(C77:F77)</f>
        <v>0</v>
      </c>
      <c r="I77" s="187"/>
      <c r="J77" s="187"/>
      <c r="K77" s="187"/>
      <c r="L77" s="187"/>
      <c r="M77" s="187"/>
      <c r="N77" s="187"/>
      <c r="O77" s="187"/>
      <c r="P77" s="187"/>
      <c r="Q77" s="187"/>
      <c r="R77" s="187"/>
      <c r="S77" s="187"/>
      <c r="T77" s="187"/>
      <c r="U77" s="187"/>
      <c r="V77" s="187"/>
      <c r="W77" s="187"/>
      <c r="X77" s="187"/>
      <c r="Y77" s="187"/>
      <c r="Z77" s="187"/>
      <c r="AA77" s="187"/>
    </row>
    <row r="78" spans="1:27" s="190" customFormat="1" ht="13" thickBot="1" x14ac:dyDescent="0.3">
      <c r="A78" s="1108"/>
      <c r="B78" s="726">
        <f>F63</f>
        <v>2020</v>
      </c>
      <c r="C78" s="729"/>
      <c r="D78" s="210"/>
      <c r="E78" s="468">
        <f>+E64-E77</f>
        <v>0</v>
      </c>
      <c r="F78" s="730">
        <v>0</v>
      </c>
      <c r="G78" s="207"/>
      <c r="H78" s="208">
        <f>SUM(C78:F78)</f>
        <v>0</v>
      </c>
      <c r="I78" s="187"/>
      <c r="J78" s="187"/>
      <c r="K78" s="187"/>
      <c r="L78" s="187"/>
      <c r="M78" s="187"/>
      <c r="N78" s="187"/>
      <c r="O78" s="187"/>
      <c r="P78" s="187"/>
      <c r="Q78" s="187"/>
      <c r="R78" s="187"/>
      <c r="S78" s="187"/>
      <c r="T78" s="187"/>
      <c r="U78" s="187"/>
      <c r="V78" s="187"/>
      <c r="W78" s="187"/>
      <c r="X78" s="187"/>
      <c r="Y78" s="187"/>
      <c r="Z78" s="187"/>
      <c r="AA78" s="187"/>
    </row>
    <row r="79" spans="1:27" s="199" customFormat="1" ht="15.5" x14ac:dyDescent="0.35">
      <c r="A79" s="1109"/>
      <c r="B79" s="727" t="s">
        <v>33</v>
      </c>
      <c r="C79" s="213">
        <f>SUM(C75:C78)</f>
        <v>0</v>
      </c>
      <c r="D79" s="213">
        <f>SUM(D75:D78)</f>
        <v>0</v>
      </c>
      <c r="E79" s="213">
        <f>SUM(E75:E78)</f>
        <v>0</v>
      </c>
      <c r="F79" s="731">
        <f>SUM(F75:F78)</f>
        <v>0</v>
      </c>
      <c r="G79" s="215"/>
      <c r="H79" s="216">
        <f>SUM(H75:H78)</f>
        <v>0</v>
      </c>
      <c r="I79" s="198"/>
      <c r="J79" s="198"/>
      <c r="K79" s="198"/>
      <c r="L79" s="198"/>
      <c r="M79" s="198"/>
      <c r="N79" s="198"/>
      <c r="O79" s="198"/>
      <c r="P79" s="198"/>
      <c r="Q79" s="198"/>
      <c r="R79" s="198"/>
      <c r="S79" s="198"/>
      <c r="T79" s="198"/>
      <c r="U79" s="198"/>
      <c r="V79" s="198"/>
      <c r="W79" s="198"/>
      <c r="X79" s="198"/>
      <c r="Y79" s="198"/>
      <c r="Z79" s="198"/>
      <c r="AA79" s="198"/>
    </row>
    <row r="80" spans="1:27" s="196" customFormat="1" ht="13" x14ac:dyDescent="0.3">
      <c r="A80" s="217" t="s">
        <v>58</v>
      </c>
      <c r="C80" s="218">
        <f>+C79+C90</f>
        <v>0</v>
      </c>
      <c r="D80" s="218">
        <f>+D79+D90</f>
        <v>0</v>
      </c>
      <c r="E80" s="218">
        <f>+E79+E90</f>
        <v>0</v>
      </c>
      <c r="F80" s="218">
        <f>+F79+F90</f>
        <v>0</v>
      </c>
      <c r="G80" s="218"/>
      <c r="H80" s="218">
        <f>+H79+H90</f>
        <v>0</v>
      </c>
      <c r="I80" s="218"/>
    </row>
    <row r="81" spans="1:27" s="219" customFormat="1" ht="13" x14ac:dyDescent="0.3">
      <c r="A81" s="196"/>
      <c r="B81" s="196"/>
      <c r="C81" s="218"/>
      <c r="D81" s="218"/>
      <c r="E81" s="218"/>
      <c r="F81" s="218"/>
      <c r="G81" s="196"/>
      <c r="H81" s="196"/>
      <c r="I81" s="196"/>
      <c r="J81" s="196"/>
      <c r="K81" s="196"/>
      <c r="L81" s="196"/>
      <c r="M81" s="196"/>
      <c r="N81" s="196"/>
      <c r="O81" s="196"/>
      <c r="P81" s="196"/>
      <c r="Q81" s="196"/>
      <c r="R81" s="196"/>
      <c r="S81" s="196"/>
      <c r="T81" s="196"/>
      <c r="U81" s="196"/>
      <c r="V81" s="196"/>
      <c r="W81" s="196"/>
      <c r="X81" s="196"/>
      <c r="Y81" s="196"/>
      <c r="Z81" s="196"/>
      <c r="AA81" s="196"/>
    </row>
    <row r="82" spans="1:27" s="196" customFormat="1" ht="13" x14ac:dyDescent="0.3">
      <c r="C82" s="194" t="s">
        <v>340</v>
      </c>
      <c r="D82" s="218"/>
      <c r="E82" s="218"/>
      <c r="F82" s="218"/>
      <c r="G82" s="218"/>
      <c r="H82" s="218"/>
    </row>
    <row r="83" spans="1:27" ht="13" x14ac:dyDescent="0.3">
      <c r="C83" s="194" t="s">
        <v>341</v>
      </c>
    </row>
    <row r="84" spans="1:27" s="190" customFormat="1" ht="16.5" x14ac:dyDescent="0.35">
      <c r="A84" s="187"/>
      <c r="B84" s="187"/>
      <c r="C84" s="1029" t="s">
        <v>30</v>
      </c>
      <c r="D84" s="1030"/>
      <c r="E84" s="1030"/>
      <c r="F84" s="1031"/>
      <c r="G84" s="187"/>
      <c r="H84" s="200" t="s">
        <v>31</v>
      </c>
      <c r="I84" s="187"/>
      <c r="J84" s="200" t="s">
        <v>31</v>
      </c>
      <c r="K84" s="187"/>
      <c r="L84" s="187"/>
      <c r="M84" s="187"/>
      <c r="N84" s="187"/>
      <c r="O84" s="187"/>
      <c r="P84" s="187"/>
      <c r="Q84" s="187"/>
      <c r="R84" s="187"/>
      <c r="S84" s="187"/>
      <c r="T84" s="187"/>
      <c r="U84" s="187"/>
      <c r="V84" s="187"/>
      <c r="W84" s="187"/>
      <c r="X84" s="187"/>
      <c r="Y84" s="187"/>
      <c r="Z84" s="187"/>
      <c r="AA84" s="187"/>
    </row>
    <row r="85" spans="1:27" s="190" customFormat="1" x14ac:dyDescent="0.25">
      <c r="A85" s="187"/>
      <c r="B85" s="187"/>
      <c r="C85" s="202">
        <f>+C74</f>
        <v>2017</v>
      </c>
      <c r="D85" s="202">
        <f>+D74</f>
        <v>2018</v>
      </c>
      <c r="E85" s="202">
        <f>+E74</f>
        <v>2019</v>
      </c>
      <c r="F85" s="202">
        <f>+F74</f>
        <v>2020</v>
      </c>
      <c r="G85" s="187"/>
      <c r="H85" s="203" t="s">
        <v>34</v>
      </c>
      <c r="I85" s="187"/>
      <c r="J85" s="203" t="s">
        <v>35</v>
      </c>
      <c r="K85" s="187"/>
      <c r="L85" s="187"/>
      <c r="M85" s="187"/>
      <c r="N85" s="187"/>
      <c r="O85" s="187"/>
      <c r="P85" s="187"/>
      <c r="Q85" s="187"/>
      <c r="R85" s="187"/>
      <c r="S85" s="187"/>
      <c r="T85" s="187"/>
      <c r="U85" s="187"/>
      <c r="V85" s="187"/>
      <c r="W85" s="187"/>
      <c r="X85" s="187"/>
      <c r="Y85" s="187"/>
      <c r="Z85" s="187"/>
      <c r="AA85" s="187"/>
    </row>
    <row r="86" spans="1:27" s="190" customFormat="1" ht="12.75" customHeight="1" x14ac:dyDescent="0.3">
      <c r="A86" s="1032" t="s">
        <v>224</v>
      </c>
      <c r="B86" s="668">
        <f>+B75</f>
        <v>2017</v>
      </c>
      <c r="C86" s="732"/>
      <c r="D86" s="221"/>
      <c r="E86" s="221"/>
      <c r="F86" s="224"/>
      <c r="G86" s="207"/>
      <c r="H86" s="208">
        <f>SUM(C86:F86)</f>
        <v>0</v>
      </c>
      <c r="I86" s="207"/>
      <c r="J86" s="223">
        <f>SUM(H75,H86)</f>
        <v>0</v>
      </c>
      <c r="K86" s="187"/>
      <c r="L86" s="187"/>
      <c r="M86" s="187"/>
      <c r="N86" s="187"/>
      <c r="O86" s="187"/>
      <c r="P86" s="187"/>
      <c r="Q86" s="187"/>
      <c r="R86" s="187"/>
      <c r="S86" s="187"/>
      <c r="T86" s="187"/>
      <c r="U86" s="187"/>
      <c r="V86" s="187"/>
      <c r="W86" s="187"/>
      <c r="X86" s="187"/>
      <c r="Y86" s="187"/>
      <c r="Z86" s="187"/>
      <c r="AA86" s="187"/>
    </row>
    <row r="87" spans="1:27" s="190" customFormat="1" ht="12.75" customHeight="1" x14ac:dyDescent="0.3">
      <c r="A87" s="1033"/>
      <c r="B87" s="220">
        <f>+B76</f>
        <v>2018</v>
      </c>
      <c r="C87" s="469">
        <v>0</v>
      </c>
      <c r="D87" s="221"/>
      <c r="E87" s="221"/>
      <c r="F87" s="224"/>
      <c r="G87" s="207"/>
      <c r="H87" s="208">
        <f>SUM(C87:F87)</f>
        <v>0</v>
      </c>
      <c r="I87" s="207"/>
      <c r="J87" s="223">
        <f>SUM(H76,H87)</f>
        <v>0</v>
      </c>
      <c r="K87" s="187"/>
      <c r="L87" s="187"/>
      <c r="M87" s="187"/>
      <c r="N87" s="187"/>
      <c r="O87" s="187"/>
      <c r="P87" s="187"/>
      <c r="Q87" s="187"/>
      <c r="R87" s="187"/>
      <c r="S87" s="187"/>
      <c r="T87" s="187"/>
      <c r="U87" s="187"/>
      <c r="V87" s="187"/>
      <c r="W87" s="187"/>
      <c r="X87" s="187"/>
      <c r="Y87" s="187"/>
      <c r="Z87" s="187"/>
      <c r="AA87" s="187"/>
    </row>
    <row r="88" spans="1:27" s="190" customFormat="1" ht="12.75" customHeight="1" x14ac:dyDescent="0.3">
      <c r="A88" s="1033" t="s">
        <v>36</v>
      </c>
      <c r="B88" s="220">
        <f>+B77</f>
        <v>2019</v>
      </c>
      <c r="C88" s="469">
        <v>0</v>
      </c>
      <c r="D88" s="469">
        <v>0</v>
      </c>
      <c r="E88" s="221"/>
      <c r="F88" s="224"/>
      <c r="G88" s="207"/>
      <c r="H88" s="208">
        <f>SUM(C88:F88)</f>
        <v>0</v>
      </c>
      <c r="I88" s="207"/>
      <c r="J88" s="223">
        <f>SUM(H77,H88)</f>
        <v>0</v>
      </c>
      <c r="K88" s="187"/>
      <c r="L88" s="187"/>
      <c r="M88" s="187"/>
      <c r="N88" s="187"/>
      <c r="O88" s="187"/>
      <c r="P88" s="187"/>
      <c r="Q88" s="187"/>
      <c r="R88" s="187"/>
      <c r="S88" s="187"/>
      <c r="T88" s="187"/>
      <c r="U88" s="187"/>
      <c r="V88" s="187"/>
      <c r="W88" s="187"/>
      <c r="X88" s="187"/>
      <c r="Y88" s="187"/>
      <c r="Z88" s="187"/>
      <c r="AA88" s="187"/>
    </row>
    <row r="89" spans="1:27" s="190" customFormat="1" ht="12.75" customHeight="1" x14ac:dyDescent="0.3">
      <c r="A89" s="1033"/>
      <c r="B89" s="220">
        <f>+B78</f>
        <v>2020</v>
      </c>
      <c r="C89" s="469">
        <v>0</v>
      </c>
      <c r="D89" s="469">
        <v>0</v>
      </c>
      <c r="E89" s="469">
        <v>0</v>
      </c>
      <c r="F89" s="224"/>
      <c r="G89" s="207"/>
      <c r="H89" s="208">
        <f>SUM(C89:F89)</f>
        <v>0</v>
      </c>
      <c r="I89" s="207"/>
      <c r="J89" s="223">
        <f>SUM(H78,H89)</f>
        <v>0</v>
      </c>
      <c r="K89" s="197" t="s">
        <v>38</v>
      </c>
      <c r="L89" s="187"/>
      <c r="M89" s="187"/>
      <c r="N89" s="187"/>
      <c r="O89" s="187"/>
      <c r="P89" s="187"/>
      <c r="Q89" s="187"/>
      <c r="R89" s="187"/>
      <c r="S89" s="187"/>
      <c r="T89" s="187"/>
      <c r="U89" s="187"/>
      <c r="V89" s="187"/>
      <c r="W89" s="187"/>
      <c r="X89" s="187"/>
      <c r="Y89" s="187"/>
      <c r="Z89" s="187"/>
      <c r="AA89" s="187"/>
    </row>
    <row r="90" spans="1:27" s="199" customFormat="1" ht="16.5" customHeight="1" x14ac:dyDescent="0.35">
      <c r="A90" s="1034"/>
      <c r="B90" s="212" t="s">
        <v>33</v>
      </c>
      <c r="C90" s="225">
        <f>SUM(C86:C89)</f>
        <v>0</v>
      </c>
      <c r="D90" s="225">
        <f>SUM(D86:D89)</f>
        <v>0</v>
      </c>
      <c r="E90" s="225">
        <f>SUM(E86:E89)</f>
        <v>0</v>
      </c>
      <c r="F90" s="225">
        <f>SUM(F86:F89)</f>
        <v>0</v>
      </c>
      <c r="G90" s="207"/>
      <c r="H90" s="216">
        <f>SUM(H86:H89)</f>
        <v>0</v>
      </c>
      <c r="I90" s="215"/>
      <c r="J90" s="216">
        <f>SUM(J86:J89)</f>
        <v>0</v>
      </c>
      <c r="K90" s="198"/>
      <c r="L90" s="198"/>
      <c r="M90" s="198"/>
      <c r="N90" s="198"/>
      <c r="O90" s="198"/>
      <c r="P90" s="198"/>
      <c r="Q90" s="198"/>
      <c r="R90" s="198"/>
      <c r="S90" s="198"/>
      <c r="T90" s="198"/>
      <c r="U90" s="198"/>
      <c r="V90" s="198"/>
      <c r="W90" s="198"/>
      <c r="X90" s="198"/>
      <c r="Y90" s="198"/>
      <c r="Z90" s="198"/>
      <c r="AA90" s="198"/>
    </row>
    <row r="91" spans="1:27" x14ac:dyDescent="0.25">
      <c r="G91" s="207"/>
    </row>
    <row r="92" spans="1:27" x14ac:dyDescent="0.25">
      <c r="G92" s="207"/>
    </row>
    <row r="93" spans="1:27" ht="13" thickBot="1" x14ac:dyDescent="0.3">
      <c r="G93" s="207"/>
    </row>
    <row r="94" spans="1:27" s="740" customFormat="1" ht="21.75" customHeight="1" thickBot="1" x14ac:dyDescent="0.3">
      <c r="A94" s="1037" t="s">
        <v>40</v>
      </c>
      <c r="B94" s="1038"/>
      <c r="C94" s="1038"/>
      <c r="D94" s="1038"/>
      <c r="E94" s="1038"/>
      <c r="F94" s="1038"/>
      <c r="G94" s="1038"/>
      <c r="H94" s="1039"/>
      <c r="J94" s="739"/>
      <c r="K94" s="739"/>
      <c r="L94" s="739"/>
      <c r="M94" s="739"/>
      <c r="N94" s="739"/>
      <c r="O94" s="739"/>
      <c r="P94" s="739"/>
      <c r="Q94" s="739"/>
      <c r="R94" s="739"/>
      <c r="S94" s="739"/>
      <c r="T94" s="739"/>
      <c r="U94" s="739"/>
      <c r="V94" s="739"/>
      <c r="W94" s="739"/>
      <c r="X94" s="739"/>
      <c r="Y94" s="739"/>
      <c r="Z94" s="739"/>
      <c r="AA94" s="739"/>
    </row>
    <row r="96" spans="1:27" ht="13" x14ac:dyDescent="0.3">
      <c r="C96" s="194" t="s">
        <v>342</v>
      </c>
    </row>
    <row r="97" spans="1:8" ht="13" x14ac:dyDescent="0.3">
      <c r="C97" s="194" t="s">
        <v>42</v>
      </c>
    </row>
    <row r="98" spans="1:8" ht="16.5" x14ac:dyDescent="0.35">
      <c r="C98" s="1023" t="s">
        <v>41</v>
      </c>
      <c r="D98" s="1024"/>
      <c r="E98" s="1024"/>
      <c r="F98" s="1025"/>
    </row>
    <row r="99" spans="1:8" x14ac:dyDescent="0.25">
      <c r="C99" s="202">
        <f>+C85</f>
        <v>2017</v>
      </c>
      <c r="D99" s="202">
        <f>+D85</f>
        <v>2018</v>
      </c>
      <c r="E99" s="202">
        <f>+E85</f>
        <v>2019</v>
      </c>
      <c r="F99" s="202">
        <f>+F85</f>
        <v>2020</v>
      </c>
      <c r="H99" s="226" t="s">
        <v>31</v>
      </c>
    </row>
    <row r="100" spans="1:8" ht="13.5" customHeight="1" x14ac:dyDescent="0.25">
      <c r="A100" s="1026" t="s">
        <v>264</v>
      </c>
      <c r="B100" s="674">
        <f>+B86</f>
        <v>2017</v>
      </c>
      <c r="C100" s="470">
        <f>+C75</f>
        <v>0</v>
      </c>
      <c r="D100" s="227"/>
      <c r="E100" s="221"/>
      <c r="F100" s="224"/>
      <c r="H100" s="228">
        <f>SUM(C100:F100)</f>
        <v>0</v>
      </c>
    </row>
    <row r="101" spans="1:8" ht="13.5" customHeight="1" x14ac:dyDescent="0.25">
      <c r="A101" s="1027"/>
      <c r="B101" s="202">
        <f>+B87</f>
        <v>2018</v>
      </c>
      <c r="C101" s="470">
        <f>+C100+C87+C76</f>
        <v>0</v>
      </c>
      <c r="D101" s="470">
        <f>+D76</f>
        <v>0</v>
      </c>
      <c r="E101" s="229"/>
      <c r="F101" s="230"/>
      <c r="H101" s="228">
        <f>SUM(C101:F101)</f>
        <v>0</v>
      </c>
    </row>
    <row r="102" spans="1:8" ht="16.5" customHeight="1" x14ac:dyDescent="0.25">
      <c r="A102" s="1027"/>
      <c r="B102" s="202">
        <f>+B88</f>
        <v>2019</v>
      </c>
      <c r="C102" s="470">
        <f>+C101+C88+C77</f>
        <v>0</v>
      </c>
      <c r="D102" s="470">
        <f>+D101+D88+D77</f>
        <v>0</v>
      </c>
      <c r="E102" s="470">
        <f>+E77</f>
        <v>0</v>
      </c>
      <c r="F102" s="230"/>
      <c r="H102" s="228">
        <f>SUM(C102:F102)</f>
        <v>0</v>
      </c>
    </row>
    <row r="103" spans="1:8" ht="15.75" customHeight="1" x14ac:dyDescent="0.25">
      <c r="A103" s="1028"/>
      <c r="B103" s="202">
        <f>+B89</f>
        <v>2020</v>
      </c>
      <c r="C103" s="470">
        <f>+C102+C89+C78</f>
        <v>0</v>
      </c>
      <c r="D103" s="470">
        <f>+D102+D89+D78</f>
        <v>0</v>
      </c>
      <c r="E103" s="470">
        <f>+E102+E89+E78</f>
        <v>0</v>
      </c>
      <c r="F103" s="470">
        <f>+F78</f>
        <v>0</v>
      </c>
      <c r="H103" s="228">
        <f>SUM(C103:F103)</f>
        <v>0</v>
      </c>
    </row>
    <row r="104" spans="1:8" ht="14.5" x14ac:dyDescent="0.35">
      <c r="A104" s="231"/>
      <c r="C104" s="194"/>
    </row>
    <row r="105" spans="1:8" ht="13" x14ac:dyDescent="0.3">
      <c r="C105" s="194"/>
    </row>
    <row r="106" spans="1:8" ht="13" x14ac:dyDescent="0.3">
      <c r="C106" s="194"/>
    </row>
  </sheetData>
  <mergeCells count="62">
    <mergeCell ref="A38:B38"/>
    <mergeCell ref="A39:B39"/>
    <mergeCell ref="A47:B47"/>
    <mergeCell ref="A45:B45"/>
    <mergeCell ref="A1:H1"/>
    <mergeCell ref="A7:B7"/>
    <mergeCell ref="A8:B8"/>
    <mergeCell ref="C4:F4"/>
    <mergeCell ref="A18:B18"/>
    <mergeCell ref="A19:B19"/>
    <mergeCell ref="A16:B16"/>
    <mergeCell ref="C5:F5"/>
    <mergeCell ref="A14:B14"/>
    <mergeCell ref="A9:B9"/>
    <mergeCell ref="A10:B10"/>
    <mergeCell ref="A21:B21"/>
    <mergeCell ref="I69:J69"/>
    <mergeCell ref="A43:B43"/>
    <mergeCell ref="A42:B42"/>
    <mergeCell ref="A41:B41"/>
    <mergeCell ref="A52:B52"/>
    <mergeCell ref="A50:B50"/>
    <mergeCell ref="A49:B49"/>
    <mergeCell ref="A48:B48"/>
    <mergeCell ref="A51:B51"/>
    <mergeCell ref="A53:B53"/>
    <mergeCell ref="A54:B54"/>
    <mergeCell ref="A60:H60"/>
    <mergeCell ref="A69:H69"/>
    <mergeCell ref="C62:F62"/>
    <mergeCell ref="A11:B11"/>
    <mergeCell ref="A28:B28"/>
    <mergeCell ref="A15:B15"/>
    <mergeCell ref="A36:B36"/>
    <mergeCell ref="A37:B37"/>
    <mergeCell ref="A29:B29"/>
    <mergeCell ref="A25:B25"/>
    <mergeCell ref="A12:B12"/>
    <mergeCell ref="A26:B26"/>
    <mergeCell ref="A27:B27"/>
    <mergeCell ref="A30:B30"/>
    <mergeCell ref="A23:B23"/>
    <mergeCell ref="A24:B24"/>
    <mergeCell ref="A20:B20"/>
    <mergeCell ref="A31:B31"/>
    <mergeCell ref="A32:B32"/>
    <mergeCell ref="A33:B33"/>
    <mergeCell ref="A34:B34"/>
    <mergeCell ref="A35:B35"/>
    <mergeCell ref="A100:A103"/>
    <mergeCell ref="C6:F6"/>
    <mergeCell ref="A13:B13"/>
    <mergeCell ref="A74:B74"/>
    <mergeCell ref="A75:A79"/>
    <mergeCell ref="A22:B22"/>
    <mergeCell ref="C98:F98"/>
    <mergeCell ref="A55:B55"/>
    <mergeCell ref="A44:B44"/>
    <mergeCell ref="A94:H94"/>
    <mergeCell ref="A86:A90"/>
    <mergeCell ref="C84:F84"/>
    <mergeCell ref="C73:F73"/>
  </mergeCells>
  <conditionalFormatting sqref="C52:F53">
    <cfRule type="expression" dxfId="39" priority="18" stopIfTrue="1">
      <formula>$C$5="gas"</formula>
    </cfRule>
  </conditionalFormatting>
  <conditionalFormatting sqref="C54:F54">
    <cfRule type="expression" dxfId="38" priority="17" stopIfTrue="1">
      <formula>$C$5="elektriciteit"</formula>
    </cfRule>
  </conditionalFormatting>
  <conditionalFormatting sqref="C26:F27">
    <cfRule type="expression" dxfId="37" priority="15" stopIfTrue="1">
      <formula>$C$5="gas"</formula>
    </cfRule>
  </conditionalFormatting>
  <conditionalFormatting sqref="C28:F28">
    <cfRule type="expression" dxfId="36" priority="14" stopIfTrue="1">
      <formula>$C$5="elektriciteit"</formula>
    </cfRule>
  </conditionalFormatting>
  <conditionalFormatting sqref="C36:F37">
    <cfRule type="expression" dxfId="35" priority="13" stopIfTrue="1">
      <formula>$C$5="gas"</formula>
    </cfRule>
  </conditionalFormatting>
  <conditionalFormatting sqref="C38:F38">
    <cfRule type="expression" dxfId="34" priority="12" stopIfTrue="1">
      <formula>$C$5="elektriciteit"</formula>
    </cfRule>
  </conditionalFormatting>
  <conditionalFormatting sqref="C13:C14">
    <cfRule type="expression" dxfId="33" priority="11" stopIfTrue="1">
      <formula>$C$5="gas"</formula>
    </cfRule>
  </conditionalFormatting>
  <conditionalFormatting sqref="C15">
    <cfRule type="expression" dxfId="32" priority="10" stopIfTrue="1">
      <formula>$C$5="elektriciteit"</formula>
    </cfRule>
  </conditionalFormatting>
  <conditionalFormatting sqref="D13:F14">
    <cfRule type="expression" dxfId="31" priority="9" stopIfTrue="1">
      <formula>$C$5="gas"</formula>
    </cfRule>
  </conditionalFormatting>
  <conditionalFormatting sqref="D15:F15">
    <cfRule type="expression" dxfId="30" priority="8" stopIfTrue="1">
      <formula>$C$5="elektriciteit"</formula>
    </cfRule>
  </conditionalFormatting>
  <conditionalFormatting sqref="C7:C55">
    <cfRule type="expression" dxfId="29" priority="4" stopIfTrue="1">
      <formula>OR($C$7&gt;$L$3,$L$3&amp;$M$3=$C$7&amp;"ex-ante")</formula>
    </cfRule>
  </conditionalFormatting>
  <conditionalFormatting sqref="D7:D55">
    <cfRule type="expression" dxfId="28" priority="3" stopIfTrue="1">
      <formula>OR($D$7&gt;$L$3,$L$3&amp;$M$3=$D$7&amp;"ex-ante")</formula>
    </cfRule>
  </conditionalFormatting>
  <conditionalFormatting sqref="E7:E55">
    <cfRule type="expression" dxfId="27" priority="2" stopIfTrue="1">
      <formula>OR($E$7&gt;$L$3,$L$3&amp;$M$3=$E$7&amp;"ex-ante")</formula>
    </cfRule>
  </conditionalFormatting>
  <conditionalFormatting sqref="F7:F55">
    <cfRule type="expression" dxfId="26" priority="1" stopIfTrue="1">
      <formula>OR($F$7&gt;$L$3,$L$3&amp;$M$3=$F$7&amp;"ex-ante")</formula>
    </cfRule>
  </conditionalFormatting>
  <pageMargins left="0.78740157480314965" right="0.78740157480314965" top="0.98425196850393704" bottom="0.98425196850393704" header="0.51181102362204722" footer="0.51181102362204722"/>
  <pageSetup paperSize="8" scale="34" orientation="landscape" r:id="rId1"/>
  <headerFooter alignWithMargins="0">
    <oddFooter>&amp;CPage &amp;P</oddFooter>
  </headerFooter>
  <ignoredErrors>
    <ignoredError sqref="C47" evalError="1"/>
    <ignoredError sqref="H85 J8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Q391"/>
  <sheetViews>
    <sheetView topLeftCell="A70" zoomScale="80" zoomScaleNormal="80" workbookViewId="0">
      <selection activeCell="G78" sqref="G78:I78"/>
    </sheetView>
  </sheetViews>
  <sheetFormatPr defaultColWidth="9.1796875" defaultRowHeight="12.5" x14ac:dyDescent="0.25"/>
  <cols>
    <col min="1" max="1" width="4.1796875" style="20" customWidth="1"/>
    <col min="2" max="2" width="14.26953125" style="20" customWidth="1"/>
    <col min="3" max="3" width="14" style="20" customWidth="1"/>
    <col min="4" max="4" width="11.7265625" style="20" customWidth="1"/>
    <col min="5" max="5" width="24.26953125" style="20" customWidth="1"/>
    <col min="6" max="6" width="8.81640625" style="20" customWidth="1"/>
    <col min="7" max="7" width="50" style="20" customWidth="1"/>
    <col min="8" max="9" width="41.81640625" style="20" customWidth="1"/>
    <col min="10" max="10" width="42" style="20" customWidth="1"/>
    <col min="11" max="11" width="28.7265625" style="610" customWidth="1"/>
    <col min="12" max="12" width="43.453125" style="20" customWidth="1"/>
    <col min="13" max="13" width="9.1796875" style="20"/>
    <col min="14" max="14" width="19.1796875" style="20" customWidth="1"/>
    <col min="15" max="16384" width="9.1796875" style="20"/>
  </cols>
  <sheetData>
    <row r="1" spans="1:17" ht="18.75" customHeight="1" thickBot="1" x14ac:dyDescent="0.45">
      <c r="A1" s="990" t="s">
        <v>308</v>
      </c>
      <c r="B1" s="991"/>
      <c r="C1" s="991"/>
      <c r="D1" s="991"/>
      <c r="E1" s="991"/>
      <c r="F1" s="991"/>
      <c r="G1" s="991"/>
      <c r="H1" s="991"/>
      <c r="I1" s="991"/>
      <c r="J1" s="992"/>
      <c r="M1" s="106"/>
      <c r="N1" s="106"/>
      <c r="O1" s="106"/>
      <c r="P1" s="106"/>
      <c r="Q1" s="106"/>
    </row>
    <row r="2" spans="1:17" ht="15.5" x14ac:dyDescent="0.35">
      <c r="B2" s="394" t="str">
        <f>+TITELBLAD!B18</f>
        <v>Rapportering over boekjaar:</v>
      </c>
      <c r="C2" s="394"/>
      <c r="D2" s="394">
        <f>+TITELBLAD!E18</f>
        <v>2019</v>
      </c>
      <c r="E2" s="394" t="str">
        <f>+TITELBLAD!F18</f>
        <v>ex-ante</v>
      </c>
      <c r="H2" s="194"/>
      <c r="I2" s="188"/>
      <c r="J2" s="188"/>
      <c r="K2" s="106">
        <f>+TITELBLAD!E18</f>
        <v>2019</v>
      </c>
      <c r="L2" s="593" t="str">
        <f>+TITELBLAD!F18</f>
        <v>ex-ante</v>
      </c>
    </row>
    <row r="3" spans="1:17" ht="13.5" thickBot="1" x14ac:dyDescent="0.35">
      <c r="B3" s="107" t="s">
        <v>26</v>
      </c>
      <c r="H3" s="194"/>
      <c r="I3" s="188"/>
      <c r="J3" s="188"/>
      <c r="K3" s="233"/>
      <c r="L3" s="491"/>
    </row>
    <row r="4" spans="1:17" ht="16.5" customHeight="1" thickBot="1" x14ac:dyDescent="0.35">
      <c r="B4" s="1162" t="str">
        <f>+TITELBLAD!C7</f>
        <v>Naam distributienetbeheerder</v>
      </c>
      <c r="C4" s="1163"/>
      <c r="D4" s="1163"/>
      <c r="E4" s="1164"/>
      <c r="H4" s="194"/>
      <c r="I4" s="188"/>
      <c r="J4" s="188"/>
      <c r="K4" s="233"/>
      <c r="L4" s="188"/>
    </row>
    <row r="5" spans="1:17" ht="13" x14ac:dyDescent="0.3">
      <c r="H5" s="194"/>
      <c r="I5" s="188"/>
      <c r="J5" s="188"/>
      <c r="K5" s="233"/>
      <c r="L5" s="188"/>
    </row>
    <row r="6" spans="1:17" ht="13.5" thickBot="1" x14ac:dyDescent="0.35">
      <c r="B6" s="107" t="s">
        <v>27</v>
      </c>
      <c r="H6" s="194"/>
      <c r="I6" s="188"/>
      <c r="J6" s="188"/>
      <c r="K6" s="233"/>
      <c r="L6" s="188"/>
    </row>
    <row r="7" spans="1:17" ht="17.25" customHeight="1" thickBot="1" x14ac:dyDescent="0.35">
      <c r="B7" s="1165" t="str">
        <f>+TITELBLAD!C12</f>
        <v>elektriciteit</v>
      </c>
      <c r="C7" s="1166"/>
      <c r="D7" s="1166"/>
      <c r="E7" s="1167"/>
      <c r="H7" s="194"/>
      <c r="I7" s="188"/>
      <c r="J7" s="188"/>
      <c r="K7" s="233"/>
      <c r="L7" s="188"/>
    </row>
    <row r="8" spans="1:17" ht="13" x14ac:dyDescent="0.3">
      <c r="H8" s="194"/>
      <c r="I8" s="188"/>
      <c r="J8" s="188"/>
      <c r="K8" s="233"/>
      <c r="L8" s="188"/>
    </row>
    <row r="11" spans="1:17" ht="13" x14ac:dyDescent="0.3">
      <c r="G11" s="434" t="s">
        <v>338</v>
      </c>
      <c r="H11" s="383"/>
      <c r="I11" s="382"/>
    </row>
    <row r="12" spans="1:17" ht="13" x14ac:dyDescent="0.3">
      <c r="G12" s="197" t="s">
        <v>263</v>
      </c>
      <c r="H12" s="383"/>
      <c r="I12" s="382"/>
    </row>
    <row r="13" spans="1:17" s="48" customFormat="1" ht="60" customHeight="1" x14ac:dyDescent="0.25">
      <c r="B13" s="1060" t="s">
        <v>265</v>
      </c>
      <c r="C13" s="1061"/>
      <c r="D13" s="1061"/>
      <c r="E13" s="1062"/>
      <c r="F13" s="162"/>
      <c r="G13" s="675">
        <v>2017</v>
      </c>
      <c r="H13" s="675">
        <f>+G13+1</f>
        <v>2018</v>
      </c>
      <c r="I13" s="675">
        <f>+H13+1</f>
        <v>2019</v>
      </c>
      <c r="J13" s="675">
        <f>+I13+1</f>
        <v>2020</v>
      </c>
      <c r="K13" s="610"/>
      <c r="L13" s="675" t="s">
        <v>31</v>
      </c>
    </row>
    <row r="14" spans="1:17" s="130" customFormat="1" ht="12" customHeight="1" x14ac:dyDescent="0.25">
      <c r="B14" s="384"/>
      <c r="C14" s="384"/>
      <c r="D14" s="384"/>
      <c r="E14" s="384"/>
      <c r="F14" s="385"/>
      <c r="G14" s="386"/>
      <c r="H14" s="387"/>
      <c r="I14" s="387"/>
      <c r="K14" s="610"/>
    </row>
    <row r="15" spans="1:17" s="685" customFormat="1" ht="28.5" customHeight="1" x14ac:dyDescent="0.25">
      <c r="B15" s="1081" t="s">
        <v>131</v>
      </c>
      <c r="C15" s="1081"/>
      <c r="D15" s="1081"/>
      <c r="E15" s="1081"/>
      <c r="F15" s="688"/>
      <c r="G15" s="850">
        <f>+T6A!C48</f>
        <v>0</v>
      </c>
      <c r="H15" s="840">
        <f>+T6A!D48</f>
        <v>0</v>
      </c>
      <c r="I15" s="840">
        <f>+T6A!E48</f>
        <v>0</v>
      </c>
      <c r="J15" s="840">
        <f>+T6A!F48</f>
        <v>0</v>
      </c>
      <c r="K15" s="610"/>
      <c r="L15" s="851">
        <f>SUM(G15:J15)</f>
        <v>0</v>
      </c>
    </row>
    <row r="16" spans="1:17" s="685" customFormat="1" ht="26.25" customHeight="1" x14ac:dyDescent="0.25">
      <c r="B16" s="1081" t="s">
        <v>132</v>
      </c>
      <c r="C16" s="1081"/>
      <c r="D16" s="1081"/>
      <c r="E16" s="1081"/>
      <c r="F16" s="688"/>
      <c r="G16" s="850">
        <f>+T6A!C49</f>
        <v>0</v>
      </c>
      <c r="H16" s="840">
        <f>+T6A!D49</f>
        <v>0</v>
      </c>
      <c r="I16" s="840">
        <f>+T6A!E49</f>
        <v>0</v>
      </c>
      <c r="J16" s="840">
        <f>+T6A!F49</f>
        <v>0</v>
      </c>
      <c r="K16" s="610"/>
      <c r="L16" s="851">
        <f t="shared" ref="L16:L22" si="0">SUM(G16:J16)</f>
        <v>0</v>
      </c>
    </row>
    <row r="17" spans="2:12" s="685" customFormat="1" ht="27.75" customHeight="1" x14ac:dyDescent="0.25">
      <c r="B17" s="1081" t="s">
        <v>138</v>
      </c>
      <c r="C17" s="1081"/>
      <c r="D17" s="1081"/>
      <c r="E17" s="1081"/>
      <c r="F17" s="688"/>
      <c r="G17" s="850">
        <f>+T6A!C50</f>
        <v>0</v>
      </c>
      <c r="H17" s="840">
        <f>+T6A!D50</f>
        <v>0</v>
      </c>
      <c r="I17" s="840">
        <f>+T6A!E50</f>
        <v>0</v>
      </c>
      <c r="J17" s="840">
        <f>+T6A!F50</f>
        <v>0</v>
      </c>
      <c r="K17" s="610"/>
      <c r="L17" s="851">
        <f t="shared" si="0"/>
        <v>0</v>
      </c>
    </row>
    <row r="18" spans="2:12" s="685" customFormat="1" ht="24.75" customHeight="1" x14ac:dyDescent="0.25">
      <c r="B18" s="1081" t="s">
        <v>133</v>
      </c>
      <c r="C18" s="1081"/>
      <c r="D18" s="1081"/>
      <c r="E18" s="1081"/>
      <c r="F18" s="688"/>
      <c r="G18" s="850">
        <f>+T6A!C51</f>
        <v>0</v>
      </c>
      <c r="H18" s="840">
        <f>+T6A!D51</f>
        <v>0</v>
      </c>
      <c r="I18" s="840">
        <f>+T6A!E51</f>
        <v>0</v>
      </c>
      <c r="J18" s="840">
        <f>+T6A!F51</f>
        <v>0</v>
      </c>
      <c r="K18" s="610"/>
      <c r="L18" s="851">
        <f t="shared" si="0"/>
        <v>0</v>
      </c>
    </row>
    <row r="19" spans="2:12" s="685" customFormat="1" ht="27" customHeight="1" x14ac:dyDescent="0.25">
      <c r="B19" s="1081" t="s">
        <v>239</v>
      </c>
      <c r="C19" s="1081"/>
      <c r="D19" s="1081"/>
      <c r="E19" s="1081"/>
      <c r="F19" s="688"/>
      <c r="G19" s="850">
        <f>+T6A!C52</f>
        <v>0</v>
      </c>
      <c r="H19" s="840">
        <f>+T6A!D52</f>
        <v>0</v>
      </c>
      <c r="I19" s="840">
        <f>+T6A!E52</f>
        <v>0</v>
      </c>
      <c r="J19" s="840">
        <f>+T6A!F52</f>
        <v>0</v>
      </c>
      <c r="K19" s="610"/>
      <c r="L19" s="851">
        <f t="shared" si="0"/>
        <v>0</v>
      </c>
    </row>
    <row r="20" spans="2:12" s="685" customFormat="1" ht="18.75" customHeight="1" x14ac:dyDescent="0.25">
      <c r="B20" s="1081" t="s">
        <v>237</v>
      </c>
      <c r="C20" s="1081"/>
      <c r="D20" s="1081"/>
      <c r="E20" s="1081"/>
      <c r="F20" s="688"/>
      <c r="G20" s="850">
        <f>+T6A!C53</f>
        <v>0</v>
      </c>
      <c r="H20" s="840">
        <f>+T6A!D53</f>
        <v>0</v>
      </c>
      <c r="I20" s="840">
        <f>+T6A!E53</f>
        <v>0</v>
      </c>
      <c r="J20" s="840">
        <f>+T6A!F53</f>
        <v>0</v>
      </c>
      <c r="K20" s="610"/>
      <c r="L20" s="851">
        <f t="shared" si="0"/>
        <v>0</v>
      </c>
    </row>
    <row r="21" spans="2:12" s="685" customFormat="1" ht="27" customHeight="1" x14ac:dyDescent="0.25">
      <c r="B21" s="1081" t="s">
        <v>287</v>
      </c>
      <c r="C21" s="1081"/>
      <c r="D21" s="1081"/>
      <c r="E21" s="1081"/>
      <c r="F21" s="688"/>
      <c r="G21" s="850">
        <f>+T6A!C54</f>
        <v>0</v>
      </c>
      <c r="H21" s="840">
        <f>+T6A!D54</f>
        <v>0</v>
      </c>
      <c r="I21" s="840">
        <f>+T6A!E54</f>
        <v>0</v>
      </c>
      <c r="J21" s="840">
        <f>+T6A!F54</f>
        <v>0</v>
      </c>
      <c r="K21" s="610"/>
      <c r="L21" s="851">
        <f t="shared" si="0"/>
        <v>0</v>
      </c>
    </row>
    <row r="22" spans="2:12" s="685" customFormat="1" ht="28.5" customHeight="1" x14ac:dyDescent="0.25">
      <c r="B22" s="1082" t="s">
        <v>134</v>
      </c>
      <c r="C22" s="1083"/>
      <c r="D22" s="1083"/>
      <c r="E22" s="1084"/>
      <c r="F22" s="688"/>
      <c r="G22" s="850">
        <f>+T6A!C55</f>
        <v>0</v>
      </c>
      <c r="H22" s="840">
        <f>+T6A!D55</f>
        <v>0</v>
      </c>
      <c r="I22" s="840">
        <f>+T6A!E55</f>
        <v>0</v>
      </c>
      <c r="J22" s="840">
        <f>+T6A!F55</f>
        <v>0</v>
      </c>
      <c r="K22" s="610"/>
      <c r="L22" s="851">
        <f t="shared" si="0"/>
        <v>0</v>
      </c>
    </row>
    <row r="23" spans="2:12" x14ac:dyDescent="0.25">
      <c r="B23" s="48"/>
      <c r="C23" s="48"/>
      <c r="D23" s="48"/>
      <c r="E23" s="48"/>
      <c r="F23" s="48"/>
      <c r="G23" s="678"/>
      <c r="H23" s="678"/>
      <c r="I23" s="678"/>
      <c r="J23" s="678"/>
      <c r="L23" s="852"/>
    </row>
    <row r="24" spans="2:12" s="685" customFormat="1" ht="23.25" customHeight="1" x14ac:dyDescent="0.25">
      <c r="B24" s="1071" t="s">
        <v>33</v>
      </c>
      <c r="C24" s="1072"/>
      <c r="D24" s="1072"/>
      <c r="E24" s="1073"/>
      <c r="F24" s="700"/>
      <c r="G24" s="742">
        <f>SUM(G15,G16,G17,G18,G19,G20,G21,G22)</f>
        <v>0</v>
      </c>
      <c r="H24" s="701">
        <f>SUM(H15,H16,H17,H18,H19,H20,H21,H22)</f>
        <v>0</v>
      </c>
      <c r="I24" s="701">
        <f>SUM(I15,I16,I17,I18,I19,I20,I21,I22)</f>
        <v>0</v>
      </c>
      <c r="J24" s="701">
        <f>SUM(J15,J16,J17,J18,J19,J20,J21,J22)</f>
        <v>0</v>
      </c>
      <c r="K24" s="610"/>
      <c r="L24" s="742">
        <f>SUM(L15,L16,L17,L18,L19,L20,L21,L22)</f>
        <v>0</v>
      </c>
    </row>
    <row r="25" spans="2:12" ht="13" x14ac:dyDescent="0.25">
      <c r="B25" s="1066" t="s">
        <v>268</v>
      </c>
      <c r="C25" s="1066"/>
      <c r="D25" s="1066"/>
      <c r="E25" s="1066"/>
      <c r="F25" s="691"/>
      <c r="G25" s="741">
        <f>+G24-T6A!C79</f>
        <v>0</v>
      </c>
      <c r="H25" s="692">
        <f>+H24-T6A!D79</f>
        <v>0</v>
      </c>
      <c r="I25" s="692">
        <f>+I24-T6A!E79</f>
        <v>0</v>
      </c>
      <c r="J25" s="692">
        <f>+J24-T6A!F79</f>
        <v>0</v>
      </c>
      <c r="L25" s="741">
        <f>+L24-T6A!H79</f>
        <v>0</v>
      </c>
    </row>
    <row r="26" spans="2:12" ht="13" x14ac:dyDescent="0.25">
      <c r="B26" s="437"/>
      <c r="C26" s="437"/>
      <c r="D26" s="437"/>
      <c r="E26" s="437"/>
      <c r="F26" s="438"/>
      <c r="G26" s="439"/>
      <c r="H26" s="439"/>
      <c r="I26" s="439"/>
      <c r="J26" s="439"/>
      <c r="L26" s="439"/>
    </row>
    <row r="27" spans="2:12" ht="13" x14ac:dyDescent="0.3">
      <c r="G27" s="435" t="s">
        <v>56</v>
      </c>
      <c r="H27" s="680"/>
    </row>
    <row r="28" spans="2:12" ht="13" x14ac:dyDescent="0.3">
      <c r="G28" s="435" t="s">
        <v>57</v>
      </c>
    </row>
    <row r="29" spans="2:12" s="48" customFormat="1" ht="60" customHeight="1" x14ac:dyDescent="0.25">
      <c r="B29" s="1060" t="s">
        <v>266</v>
      </c>
      <c r="C29" s="1061"/>
      <c r="D29" s="1061"/>
      <c r="E29" s="1062"/>
      <c r="F29" s="162"/>
      <c r="G29" s="675">
        <v>2017</v>
      </c>
      <c r="H29" s="675">
        <f>+G29+1</f>
        <v>2018</v>
      </c>
      <c r="I29" s="675">
        <f>+H29+1</f>
        <v>2019</v>
      </c>
      <c r="J29" s="675">
        <f>+I29+1</f>
        <v>2020</v>
      </c>
      <c r="K29" s="610"/>
      <c r="L29" s="675" t="s">
        <v>31</v>
      </c>
    </row>
    <row r="30" spans="2:12" s="130" customFormat="1" ht="12" customHeight="1" x14ac:dyDescent="0.25">
      <c r="B30" s="384"/>
      <c r="C30" s="384"/>
      <c r="D30" s="384"/>
      <c r="E30" s="384"/>
      <c r="F30" s="385"/>
      <c r="G30" s="386"/>
      <c r="H30" s="387"/>
      <c r="I30" s="387"/>
      <c r="K30" s="610"/>
    </row>
    <row r="31" spans="2:12" ht="36" customHeight="1" x14ac:dyDescent="0.25">
      <c r="B31" s="1077" t="s">
        <v>131</v>
      </c>
      <c r="C31" s="1078"/>
      <c r="D31" s="1078"/>
      <c r="E31" s="1079"/>
      <c r="F31" s="162"/>
      <c r="G31" s="686"/>
      <c r="H31" s="686"/>
      <c r="I31" s="686"/>
      <c r="J31" s="686"/>
      <c r="L31" s="686"/>
    </row>
    <row r="32" spans="2:12" ht="28.5" customHeight="1" x14ac:dyDescent="0.25">
      <c r="B32" s="1068" t="str">
        <f>"per 31/12/"&amp;$G$13</f>
        <v>per 31/12/2017</v>
      </c>
      <c r="C32" s="1069"/>
      <c r="D32" s="1069"/>
      <c r="E32" s="1070"/>
      <c r="F32" s="162"/>
      <c r="G32" s="684"/>
      <c r="H32" s="684"/>
      <c r="I32" s="684"/>
      <c r="J32" s="684"/>
      <c r="L32" s="679">
        <f>SUM(G32:J32)</f>
        <v>0</v>
      </c>
    </row>
    <row r="33" spans="2:12" ht="28.5" customHeight="1" x14ac:dyDescent="0.25">
      <c r="B33" s="1068" t="str">
        <f>"per 31/12/"&amp;$H$13</f>
        <v>per 31/12/2018</v>
      </c>
      <c r="C33" s="1069"/>
      <c r="D33" s="1069"/>
      <c r="E33" s="1070"/>
      <c r="F33" s="162"/>
      <c r="G33" s="684">
        <f>J155</f>
        <v>0</v>
      </c>
      <c r="H33" s="684"/>
      <c r="I33" s="684"/>
      <c r="J33" s="684"/>
      <c r="L33" s="679">
        <f>SUM(G33:J33)</f>
        <v>0</v>
      </c>
    </row>
    <row r="34" spans="2:12" ht="28.5" customHeight="1" x14ac:dyDescent="0.25">
      <c r="B34" s="1068" t="str">
        <f>"per 31/12/"&amp;$I$13</f>
        <v>per 31/12/2019</v>
      </c>
      <c r="C34" s="1069"/>
      <c r="D34" s="1069"/>
      <c r="E34" s="1070"/>
      <c r="F34" s="162"/>
      <c r="G34" s="684">
        <f>L160</f>
        <v>0</v>
      </c>
      <c r="H34" s="684">
        <f>L161</f>
        <v>0</v>
      </c>
      <c r="I34" s="684"/>
      <c r="J34" s="684"/>
      <c r="L34" s="679">
        <f>SUM(G34:J34)</f>
        <v>0</v>
      </c>
    </row>
    <row r="35" spans="2:12" ht="28.5" customHeight="1" x14ac:dyDescent="0.25">
      <c r="B35" s="1068" t="str">
        <f>"per 31/12/"&amp;$J$13</f>
        <v>per 31/12/2020</v>
      </c>
      <c r="C35" s="1069"/>
      <c r="D35" s="1069"/>
      <c r="E35" s="1070"/>
      <c r="F35" s="162"/>
      <c r="G35" s="684">
        <f>L167</f>
        <v>0</v>
      </c>
      <c r="H35" s="684">
        <f>L168</f>
        <v>0</v>
      </c>
      <c r="I35" s="684">
        <f>L169</f>
        <v>0</v>
      </c>
      <c r="J35" s="684"/>
      <c r="L35" s="679">
        <f>SUM(G35:J35)</f>
        <v>0</v>
      </c>
    </row>
    <row r="36" spans="2:12" ht="27.75" customHeight="1" x14ac:dyDescent="0.25">
      <c r="B36" s="1077" t="s">
        <v>132</v>
      </c>
      <c r="C36" s="1078"/>
      <c r="D36" s="1078"/>
      <c r="E36" s="1079"/>
      <c r="F36" s="162"/>
      <c r="G36" s="686"/>
      <c r="H36" s="686"/>
      <c r="I36" s="686"/>
      <c r="J36" s="686"/>
      <c r="L36" s="686"/>
    </row>
    <row r="37" spans="2:12" ht="28.5" customHeight="1" x14ac:dyDescent="0.25">
      <c r="B37" s="1068" t="str">
        <f>"per 31/12/"&amp;$G$13</f>
        <v>per 31/12/2017</v>
      </c>
      <c r="C37" s="1069"/>
      <c r="D37" s="1069"/>
      <c r="E37" s="1070"/>
      <c r="F37" s="162"/>
      <c r="G37" s="684"/>
      <c r="H37" s="684"/>
      <c r="I37" s="684"/>
      <c r="J37" s="684"/>
      <c r="L37" s="679">
        <f>SUM(G37:J37)</f>
        <v>0</v>
      </c>
    </row>
    <row r="38" spans="2:12" ht="28.5" customHeight="1" x14ac:dyDescent="0.25">
      <c r="B38" s="1068" t="str">
        <f>"per 31/12/"&amp;$H$13</f>
        <v>per 31/12/2018</v>
      </c>
      <c r="C38" s="1069"/>
      <c r="D38" s="1069"/>
      <c r="E38" s="1070"/>
      <c r="F38" s="162"/>
      <c r="G38" s="909">
        <f>J185</f>
        <v>0</v>
      </c>
      <c r="H38" s="909"/>
      <c r="I38" s="909"/>
      <c r="J38" s="684"/>
      <c r="L38" s="679">
        <f>SUM(G38:J38)</f>
        <v>0</v>
      </c>
    </row>
    <row r="39" spans="2:12" ht="28.5" customHeight="1" x14ac:dyDescent="0.25">
      <c r="B39" s="1068" t="str">
        <f>"per 31/12/"&amp;$I$13</f>
        <v>per 31/12/2019</v>
      </c>
      <c r="C39" s="1069"/>
      <c r="D39" s="1069"/>
      <c r="E39" s="1070"/>
      <c r="F39" s="162"/>
      <c r="G39" s="909">
        <f>L190</f>
        <v>0</v>
      </c>
      <c r="H39" s="909">
        <f>L191</f>
        <v>0</v>
      </c>
      <c r="I39" s="909"/>
      <c r="J39" s="684"/>
      <c r="L39" s="679">
        <f>SUM(G39:J39)</f>
        <v>0</v>
      </c>
    </row>
    <row r="40" spans="2:12" ht="28.5" customHeight="1" x14ac:dyDescent="0.25">
      <c r="B40" s="1068" t="str">
        <f>"per 31/12/"&amp;$J$13</f>
        <v>per 31/12/2020</v>
      </c>
      <c r="C40" s="1069"/>
      <c r="D40" s="1069"/>
      <c r="E40" s="1070"/>
      <c r="F40" s="162"/>
      <c r="G40" s="909">
        <f>L197</f>
        <v>0</v>
      </c>
      <c r="H40" s="909">
        <f>L198</f>
        <v>0</v>
      </c>
      <c r="I40" s="909">
        <f>L199</f>
        <v>0</v>
      </c>
      <c r="J40" s="684"/>
      <c r="L40" s="679">
        <f>SUM(G40:J40)</f>
        <v>0</v>
      </c>
    </row>
    <row r="41" spans="2:12" ht="30" customHeight="1" x14ac:dyDescent="0.25">
      <c r="B41" s="1077" t="s">
        <v>138</v>
      </c>
      <c r="C41" s="1078"/>
      <c r="D41" s="1078"/>
      <c r="E41" s="1079"/>
      <c r="F41" s="162"/>
      <c r="G41" s="686"/>
      <c r="H41" s="686"/>
      <c r="I41" s="686"/>
      <c r="J41" s="686"/>
      <c r="L41" s="686"/>
    </row>
    <row r="42" spans="2:12" ht="28.5" customHeight="1" x14ac:dyDescent="0.25">
      <c r="B42" s="1068" t="str">
        <f>"per 31/12/"&amp;$G$13</f>
        <v>per 31/12/2017</v>
      </c>
      <c r="C42" s="1069"/>
      <c r="D42" s="1069"/>
      <c r="E42" s="1070"/>
      <c r="F42" s="162"/>
      <c r="G42" s="684"/>
      <c r="H42" s="684"/>
      <c r="I42" s="684"/>
      <c r="J42" s="684"/>
      <c r="L42" s="679">
        <f>SUM(G42:J42)</f>
        <v>0</v>
      </c>
    </row>
    <row r="43" spans="2:12" ht="28.5" customHeight="1" x14ac:dyDescent="0.25">
      <c r="B43" s="1068" t="str">
        <f>"per 31/12/"&amp;$H$13</f>
        <v>per 31/12/2018</v>
      </c>
      <c r="C43" s="1069"/>
      <c r="D43" s="1069"/>
      <c r="E43" s="1070"/>
      <c r="F43" s="162"/>
      <c r="G43" s="909">
        <f>J215</f>
        <v>0</v>
      </c>
      <c r="H43" s="909"/>
      <c r="I43" s="909"/>
      <c r="J43" s="684"/>
      <c r="L43" s="679">
        <f>SUM(G43:J43)</f>
        <v>0</v>
      </c>
    </row>
    <row r="44" spans="2:12" ht="28.5" customHeight="1" x14ac:dyDescent="0.25">
      <c r="B44" s="1068" t="str">
        <f>"per 31/12/"&amp;$I$13</f>
        <v>per 31/12/2019</v>
      </c>
      <c r="C44" s="1069"/>
      <c r="D44" s="1069"/>
      <c r="E44" s="1070"/>
      <c r="F44" s="162"/>
      <c r="G44" s="909">
        <f>L220</f>
        <v>0</v>
      </c>
      <c r="H44" s="909">
        <f>L221</f>
        <v>0</v>
      </c>
      <c r="I44" s="909"/>
      <c r="J44" s="684"/>
      <c r="L44" s="679">
        <f>SUM(G44:J44)</f>
        <v>0</v>
      </c>
    </row>
    <row r="45" spans="2:12" ht="28.5" customHeight="1" x14ac:dyDescent="0.25">
      <c r="B45" s="1068" t="str">
        <f>"per 31/12/"&amp;$J$13</f>
        <v>per 31/12/2020</v>
      </c>
      <c r="C45" s="1069"/>
      <c r="D45" s="1069"/>
      <c r="E45" s="1070"/>
      <c r="F45" s="162"/>
      <c r="G45" s="909">
        <f>L227</f>
        <v>0</v>
      </c>
      <c r="H45" s="909">
        <f>L228</f>
        <v>0</v>
      </c>
      <c r="I45" s="909">
        <f>L229</f>
        <v>0</v>
      </c>
      <c r="J45" s="684"/>
      <c r="L45" s="679">
        <f>SUM(G45:J45)</f>
        <v>0</v>
      </c>
    </row>
    <row r="46" spans="2:12" ht="30" customHeight="1" x14ac:dyDescent="0.25">
      <c r="B46" s="1077" t="s">
        <v>133</v>
      </c>
      <c r="C46" s="1078"/>
      <c r="D46" s="1078"/>
      <c r="E46" s="1079"/>
      <c r="F46" s="162"/>
      <c r="G46" s="686"/>
      <c r="H46" s="686"/>
      <c r="I46" s="686"/>
      <c r="J46" s="686"/>
      <c r="L46" s="686"/>
    </row>
    <row r="47" spans="2:12" ht="28.5" customHeight="1" x14ac:dyDescent="0.25">
      <c r="B47" s="1068" t="str">
        <f>"per 31/12/"&amp;$G$13</f>
        <v>per 31/12/2017</v>
      </c>
      <c r="C47" s="1069"/>
      <c r="D47" s="1069"/>
      <c r="E47" s="1070"/>
      <c r="F47" s="162"/>
      <c r="G47" s="684"/>
      <c r="H47" s="684"/>
      <c r="I47" s="684"/>
      <c r="J47" s="684"/>
      <c r="L47" s="679">
        <f>SUM(G47:J47)</f>
        <v>0</v>
      </c>
    </row>
    <row r="48" spans="2:12" ht="28.5" customHeight="1" x14ac:dyDescent="0.25">
      <c r="B48" s="1068" t="str">
        <f>"per 31/12/"&amp;$H$13</f>
        <v>per 31/12/2018</v>
      </c>
      <c r="C48" s="1069"/>
      <c r="D48" s="1069"/>
      <c r="E48" s="1070"/>
      <c r="F48" s="162"/>
      <c r="G48" s="909">
        <f>J245</f>
        <v>0</v>
      </c>
      <c r="H48" s="909"/>
      <c r="I48" s="909"/>
      <c r="J48" s="684"/>
      <c r="L48" s="679">
        <f>SUM(G48:J48)</f>
        <v>0</v>
      </c>
    </row>
    <row r="49" spans="2:12" ht="28.5" customHeight="1" x14ac:dyDescent="0.25">
      <c r="B49" s="1068" t="str">
        <f>"per 31/12/"&amp;$I$13</f>
        <v>per 31/12/2019</v>
      </c>
      <c r="C49" s="1069"/>
      <c r="D49" s="1069"/>
      <c r="E49" s="1070"/>
      <c r="F49" s="162"/>
      <c r="G49" s="909">
        <f>L250</f>
        <v>0</v>
      </c>
      <c r="H49" s="909">
        <f>L251</f>
        <v>0</v>
      </c>
      <c r="I49" s="909"/>
      <c r="J49" s="684"/>
      <c r="L49" s="679">
        <f>SUM(G49:J49)</f>
        <v>0</v>
      </c>
    </row>
    <row r="50" spans="2:12" ht="28.5" customHeight="1" x14ac:dyDescent="0.25">
      <c r="B50" s="1068" t="str">
        <f>"per 31/12/"&amp;$J$13</f>
        <v>per 31/12/2020</v>
      </c>
      <c r="C50" s="1069"/>
      <c r="D50" s="1069"/>
      <c r="E50" s="1070"/>
      <c r="F50" s="162"/>
      <c r="G50" s="909">
        <f>L257</f>
        <v>0</v>
      </c>
      <c r="H50" s="909">
        <f>L258</f>
        <v>0</v>
      </c>
      <c r="I50" s="909">
        <f>L259</f>
        <v>0</v>
      </c>
      <c r="J50" s="684"/>
      <c r="L50" s="679">
        <f>SUM(G50:J50)</f>
        <v>0</v>
      </c>
    </row>
    <row r="51" spans="2:12" ht="27" customHeight="1" x14ac:dyDescent="0.25">
      <c r="B51" s="1080" t="s">
        <v>239</v>
      </c>
      <c r="C51" s="1080"/>
      <c r="D51" s="1080"/>
      <c r="E51" s="1080"/>
      <c r="F51" s="162"/>
      <c r="G51" s="679"/>
      <c r="H51" s="679"/>
      <c r="I51" s="679"/>
      <c r="J51" s="679"/>
      <c r="L51" s="679"/>
    </row>
    <row r="52" spans="2:12" ht="28.5" customHeight="1" x14ac:dyDescent="0.25">
      <c r="B52" s="1068" t="str">
        <f>"per 31/12/"&amp;$G$13</f>
        <v>per 31/12/2017</v>
      </c>
      <c r="C52" s="1069"/>
      <c r="D52" s="1069"/>
      <c r="E52" s="1070"/>
      <c r="F52" s="162"/>
      <c r="G52" s="684"/>
      <c r="H52" s="684"/>
      <c r="I52" s="684"/>
      <c r="J52" s="684"/>
      <c r="L52" s="679">
        <f>SUM(G52:J52)</f>
        <v>0</v>
      </c>
    </row>
    <row r="53" spans="2:12" ht="28.5" customHeight="1" x14ac:dyDescent="0.25">
      <c r="B53" s="1068" t="str">
        <f>"per 31/12/"&amp;$H$13</f>
        <v>per 31/12/2018</v>
      </c>
      <c r="C53" s="1069"/>
      <c r="D53" s="1069"/>
      <c r="E53" s="1070"/>
      <c r="F53" s="162"/>
      <c r="G53" s="909">
        <f>J275</f>
        <v>0</v>
      </c>
      <c r="H53" s="909"/>
      <c r="I53" s="909"/>
      <c r="J53" s="684"/>
      <c r="L53" s="679">
        <f>SUM(G53:J53)</f>
        <v>0</v>
      </c>
    </row>
    <row r="54" spans="2:12" ht="28.5" customHeight="1" x14ac:dyDescent="0.25">
      <c r="B54" s="1068" t="str">
        <f>"per 31/12/"&amp;$I$13</f>
        <v>per 31/12/2019</v>
      </c>
      <c r="C54" s="1069"/>
      <c r="D54" s="1069"/>
      <c r="E54" s="1070"/>
      <c r="F54" s="162"/>
      <c r="G54" s="909">
        <f>L280</f>
        <v>0</v>
      </c>
      <c r="H54" s="909">
        <f>L281</f>
        <v>0</v>
      </c>
      <c r="I54" s="909"/>
      <c r="J54" s="684"/>
      <c r="L54" s="679">
        <f>SUM(G54:J54)</f>
        <v>0</v>
      </c>
    </row>
    <row r="55" spans="2:12" ht="28.5" customHeight="1" x14ac:dyDescent="0.25">
      <c r="B55" s="1068" t="str">
        <f>"per 31/12/"&amp;$J$13</f>
        <v>per 31/12/2020</v>
      </c>
      <c r="C55" s="1069"/>
      <c r="D55" s="1069"/>
      <c r="E55" s="1070"/>
      <c r="F55" s="162"/>
      <c r="G55" s="909">
        <f>L287</f>
        <v>0</v>
      </c>
      <c r="H55" s="909">
        <f>L288</f>
        <v>0</v>
      </c>
      <c r="I55" s="909">
        <f>L289</f>
        <v>0</v>
      </c>
      <c r="J55" s="684"/>
      <c r="L55" s="679">
        <f>SUM(G55:J55)</f>
        <v>0</v>
      </c>
    </row>
    <row r="56" spans="2:12" ht="26.25" customHeight="1" x14ac:dyDescent="0.25">
      <c r="B56" s="1077" t="s">
        <v>237</v>
      </c>
      <c r="C56" s="1078"/>
      <c r="D56" s="1078"/>
      <c r="E56" s="1079"/>
      <c r="F56" s="162"/>
      <c r="G56" s="686"/>
      <c r="H56" s="686"/>
      <c r="I56" s="686"/>
      <c r="J56" s="686"/>
      <c r="L56" s="686"/>
    </row>
    <row r="57" spans="2:12" ht="28.5" customHeight="1" x14ac:dyDescent="0.25">
      <c r="B57" s="1068" t="str">
        <f>"per 31/12/"&amp;$G$13</f>
        <v>per 31/12/2017</v>
      </c>
      <c r="C57" s="1069"/>
      <c r="D57" s="1069"/>
      <c r="E57" s="1070"/>
      <c r="F57" s="162"/>
      <c r="G57" s="684"/>
      <c r="H57" s="684"/>
      <c r="I57" s="684"/>
      <c r="J57" s="684"/>
      <c r="L57" s="679">
        <f>SUM(G57:J57)</f>
        <v>0</v>
      </c>
    </row>
    <row r="58" spans="2:12" ht="28.5" customHeight="1" x14ac:dyDescent="0.25">
      <c r="B58" s="1068" t="str">
        <f>"per 31/12/"&amp;$H$13</f>
        <v>per 31/12/2018</v>
      </c>
      <c r="C58" s="1069"/>
      <c r="D58" s="1069"/>
      <c r="E58" s="1070"/>
      <c r="F58" s="162"/>
      <c r="G58" s="909">
        <f>J305</f>
        <v>0</v>
      </c>
      <c r="H58" s="909"/>
      <c r="I58" s="909"/>
      <c r="J58" s="684"/>
      <c r="L58" s="679">
        <f>SUM(G58:J58)</f>
        <v>0</v>
      </c>
    </row>
    <row r="59" spans="2:12" ht="28.5" customHeight="1" x14ac:dyDescent="0.25">
      <c r="B59" s="1068" t="str">
        <f>"per 31/12/"&amp;$I$13</f>
        <v>per 31/12/2019</v>
      </c>
      <c r="C59" s="1069"/>
      <c r="D59" s="1069"/>
      <c r="E59" s="1070"/>
      <c r="F59" s="162"/>
      <c r="G59" s="909">
        <f>L310</f>
        <v>0</v>
      </c>
      <c r="H59" s="909">
        <f>L311</f>
        <v>0</v>
      </c>
      <c r="I59" s="909"/>
      <c r="J59" s="684"/>
      <c r="L59" s="679">
        <f>SUM(G59:J59)</f>
        <v>0</v>
      </c>
    </row>
    <row r="60" spans="2:12" ht="28.5" customHeight="1" x14ac:dyDescent="0.25">
      <c r="B60" s="1068" t="str">
        <f>"per 31/12/"&amp;$J$13</f>
        <v>per 31/12/2020</v>
      </c>
      <c r="C60" s="1069"/>
      <c r="D60" s="1069"/>
      <c r="E60" s="1070"/>
      <c r="F60" s="162"/>
      <c r="G60" s="909">
        <f>L317</f>
        <v>0</v>
      </c>
      <c r="H60" s="909">
        <f>L318</f>
        <v>0</v>
      </c>
      <c r="I60" s="909">
        <f>L319</f>
        <v>0</v>
      </c>
      <c r="J60" s="684"/>
      <c r="L60" s="679">
        <f>SUM(G60:J60)</f>
        <v>0</v>
      </c>
    </row>
    <row r="61" spans="2:12" ht="33.75" customHeight="1" x14ac:dyDescent="0.25">
      <c r="B61" s="1077" t="s">
        <v>287</v>
      </c>
      <c r="C61" s="1078"/>
      <c r="D61" s="1078"/>
      <c r="E61" s="1079"/>
      <c r="F61" s="162"/>
      <c r="G61" s="686"/>
      <c r="H61" s="686"/>
      <c r="I61" s="686"/>
      <c r="J61" s="686"/>
      <c r="L61" s="686"/>
    </row>
    <row r="62" spans="2:12" ht="28.5" customHeight="1" x14ac:dyDescent="0.25">
      <c r="B62" s="1068" t="str">
        <f>"per 31/12/"&amp;$G$13</f>
        <v>per 31/12/2017</v>
      </c>
      <c r="C62" s="1069"/>
      <c r="D62" s="1069"/>
      <c r="E62" s="1070"/>
      <c r="F62" s="162"/>
      <c r="G62" s="684"/>
      <c r="H62" s="684"/>
      <c r="I62" s="684"/>
      <c r="J62" s="684"/>
      <c r="L62" s="679">
        <f>SUM(G62:J62)</f>
        <v>0</v>
      </c>
    </row>
    <row r="63" spans="2:12" ht="28.5" customHeight="1" x14ac:dyDescent="0.25">
      <c r="B63" s="1068" t="str">
        <f>"per 31/12/"&amp;$H$13</f>
        <v>per 31/12/2018</v>
      </c>
      <c r="C63" s="1069"/>
      <c r="D63" s="1069"/>
      <c r="E63" s="1070"/>
      <c r="F63" s="162"/>
      <c r="G63" s="909">
        <f>J335</f>
        <v>0</v>
      </c>
      <c r="H63" s="909"/>
      <c r="I63" s="909"/>
      <c r="J63" s="684"/>
      <c r="L63" s="679">
        <f>SUM(G63:J63)</f>
        <v>0</v>
      </c>
    </row>
    <row r="64" spans="2:12" ht="28.5" customHeight="1" x14ac:dyDescent="0.25">
      <c r="B64" s="1068" t="str">
        <f>"per 31/12/"&amp;$I$13</f>
        <v>per 31/12/2019</v>
      </c>
      <c r="C64" s="1069"/>
      <c r="D64" s="1069"/>
      <c r="E64" s="1070"/>
      <c r="F64" s="162"/>
      <c r="G64" s="909">
        <f>L340</f>
        <v>0</v>
      </c>
      <c r="H64" s="909">
        <f>L341</f>
        <v>0</v>
      </c>
      <c r="I64" s="909"/>
      <c r="J64" s="684"/>
      <c r="L64" s="679">
        <f>SUM(G64:J64)</f>
        <v>0</v>
      </c>
    </row>
    <row r="65" spans="1:12" ht="28.5" customHeight="1" x14ac:dyDescent="0.25">
      <c r="B65" s="1068" t="str">
        <f>"per 31/12/"&amp;$J$13</f>
        <v>per 31/12/2020</v>
      </c>
      <c r="C65" s="1069"/>
      <c r="D65" s="1069"/>
      <c r="E65" s="1070"/>
      <c r="F65" s="162"/>
      <c r="G65" s="909">
        <f>L347</f>
        <v>0</v>
      </c>
      <c r="H65" s="909">
        <f>L348</f>
        <v>0</v>
      </c>
      <c r="I65" s="909">
        <f>L349</f>
        <v>0</v>
      </c>
      <c r="J65" s="684"/>
      <c r="L65" s="679">
        <f>SUM(G65:J65)</f>
        <v>0</v>
      </c>
    </row>
    <row r="66" spans="1:12" ht="33" customHeight="1" x14ac:dyDescent="0.25">
      <c r="B66" s="1074" t="s">
        <v>134</v>
      </c>
      <c r="C66" s="1075"/>
      <c r="D66" s="1075"/>
      <c r="E66" s="1076"/>
      <c r="F66" s="162"/>
      <c r="G66" s="686"/>
      <c r="H66" s="686"/>
      <c r="I66" s="686"/>
      <c r="J66" s="686"/>
      <c r="L66" s="686"/>
    </row>
    <row r="67" spans="1:12" ht="28.5" customHeight="1" x14ac:dyDescent="0.25">
      <c r="B67" s="1068" t="str">
        <f>"per 31/12/"&amp;$G$13</f>
        <v>per 31/12/2017</v>
      </c>
      <c r="C67" s="1069"/>
      <c r="D67" s="1069"/>
      <c r="E67" s="1070"/>
      <c r="F67" s="162"/>
      <c r="G67" s="684"/>
      <c r="H67" s="684"/>
      <c r="I67" s="684"/>
      <c r="J67" s="684"/>
      <c r="L67" s="679">
        <f>SUM(G67:J67)</f>
        <v>0</v>
      </c>
    </row>
    <row r="68" spans="1:12" ht="28.5" customHeight="1" x14ac:dyDescent="0.25">
      <c r="B68" s="1068" t="str">
        <f>"per 31/12/"&amp;$H$13</f>
        <v>per 31/12/2018</v>
      </c>
      <c r="C68" s="1069"/>
      <c r="D68" s="1069"/>
      <c r="E68" s="1070"/>
      <c r="F68" s="162"/>
      <c r="G68" s="909">
        <f>J365</f>
        <v>0</v>
      </c>
      <c r="H68" s="909"/>
      <c r="I68" s="909"/>
      <c r="J68" s="684"/>
      <c r="L68" s="679">
        <f>SUM(G68:J68)</f>
        <v>0</v>
      </c>
    </row>
    <row r="69" spans="1:12" ht="28.5" customHeight="1" x14ac:dyDescent="0.25">
      <c r="B69" s="1068" t="str">
        <f>"per 31/12/"&amp;$I$13</f>
        <v>per 31/12/2019</v>
      </c>
      <c r="C69" s="1069"/>
      <c r="D69" s="1069"/>
      <c r="E69" s="1070"/>
      <c r="F69" s="162"/>
      <c r="G69" s="909">
        <f>L370</f>
        <v>0</v>
      </c>
      <c r="H69" s="909">
        <f>L371</f>
        <v>0</v>
      </c>
      <c r="I69" s="909"/>
      <c r="J69" s="684"/>
      <c r="L69" s="679">
        <f>SUM(G69:J69)</f>
        <v>0</v>
      </c>
    </row>
    <row r="70" spans="1:12" ht="28.5" customHeight="1" x14ac:dyDescent="0.25">
      <c r="B70" s="1068" t="str">
        <f>"per 31/12/"&amp;$J$13</f>
        <v>per 31/12/2020</v>
      </c>
      <c r="C70" s="1069"/>
      <c r="D70" s="1069"/>
      <c r="E70" s="1070"/>
      <c r="F70" s="162"/>
      <c r="G70" s="909">
        <f>L377</f>
        <v>0</v>
      </c>
      <c r="H70" s="909">
        <f>L378</f>
        <v>0</v>
      </c>
      <c r="I70" s="909">
        <f>L379</f>
        <v>0</v>
      </c>
      <c r="J70" s="684"/>
      <c r="L70" s="679">
        <f>SUM(G70:J70)</f>
        <v>0</v>
      </c>
    </row>
    <row r="71" spans="1:12" x14ac:dyDescent="0.25">
      <c r="G71" s="680"/>
      <c r="H71" s="680"/>
      <c r="I71" s="680"/>
      <c r="J71" s="680"/>
      <c r="L71" s="680"/>
    </row>
    <row r="72" spans="1:12" s="381" customFormat="1" ht="13" x14ac:dyDescent="0.3">
      <c r="B72" s="1168"/>
      <c r="C72" s="1168"/>
      <c r="D72" s="1168"/>
      <c r="E72" s="1168"/>
      <c r="G72" s="675">
        <v>2017</v>
      </c>
      <c r="H72" s="675">
        <f>+G72+1</f>
        <v>2018</v>
      </c>
      <c r="I72" s="675">
        <f>+H72+1</f>
        <v>2019</v>
      </c>
      <c r="J72" s="675">
        <f>+I72+1</f>
        <v>2020</v>
      </c>
      <c r="K72" s="610"/>
      <c r="L72" s="675" t="s">
        <v>31</v>
      </c>
    </row>
    <row r="73" spans="1:12" s="682" customFormat="1" ht="26.25" customHeight="1" x14ac:dyDescent="0.25">
      <c r="B73" s="1071" t="s">
        <v>337</v>
      </c>
      <c r="C73" s="1072"/>
      <c r="D73" s="1072"/>
      <c r="E73" s="1073"/>
      <c r="F73" s="699"/>
      <c r="G73" s="696"/>
      <c r="H73" s="696"/>
      <c r="I73" s="696"/>
      <c r="J73" s="696"/>
      <c r="K73" s="610"/>
      <c r="L73" s="696"/>
    </row>
    <row r="74" spans="1:12" ht="28.5" customHeight="1" x14ac:dyDescent="0.25">
      <c r="A74" s="394">
        <v>2017</v>
      </c>
      <c r="B74" s="1063" t="str">
        <f>"per 31/12/"&amp;$G$13</f>
        <v>per 31/12/2017</v>
      </c>
      <c r="C74" s="1064"/>
      <c r="D74" s="1064"/>
      <c r="E74" s="1065"/>
      <c r="F74" s="697"/>
      <c r="G74" s="698"/>
      <c r="H74" s="698"/>
      <c r="I74" s="698"/>
      <c r="J74" s="698"/>
      <c r="L74" s="698">
        <f>SUM(L32,L37,L42,L47,L52,L57,L62,L67)</f>
        <v>0</v>
      </c>
    </row>
    <row r="75" spans="1:12" ht="28.5" customHeight="1" x14ac:dyDescent="0.25">
      <c r="A75" s="394">
        <v>2018</v>
      </c>
      <c r="B75" s="1063" t="str">
        <f>"per 31/12/"&amp;$H$13</f>
        <v>per 31/12/2018</v>
      </c>
      <c r="C75" s="1064"/>
      <c r="D75" s="1064"/>
      <c r="E75" s="1065"/>
      <c r="F75" s="697"/>
      <c r="G75" s="698">
        <f>SUM(G33,G38,G43,G48,G53,G58,G63,G68)</f>
        <v>0</v>
      </c>
      <c r="H75" s="698"/>
      <c r="I75" s="698"/>
      <c r="J75" s="698"/>
      <c r="L75" s="698">
        <f>SUM(L33,L38,L43,L48,L53,L58,L63,L68)</f>
        <v>0</v>
      </c>
    </row>
    <row r="76" spans="1:12" ht="28.5" customHeight="1" x14ac:dyDescent="0.25">
      <c r="A76" s="394">
        <v>2019</v>
      </c>
      <c r="B76" s="1063" t="str">
        <f>"per 31/12/"&amp;$I$13</f>
        <v>per 31/12/2019</v>
      </c>
      <c r="C76" s="1064"/>
      <c r="D76" s="1064"/>
      <c r="E76" s="1065"/>
      <c r="F76" s="697"/>
      <c r="G76" s="698">
        <f>SUM(G34,G39,G44,G49,G54,G59,G64,G69)</f>
        <v>0</v>
      </c>
      <c r="H76" s="698">
        <f>SUM(H34,H39,H44,H49,H54,H59,H64,H69)</f>
        <v>0</v>
      </c>
      <c r="I76" s="698"/>
      <c r="J76" s="698"/>
      <c r="L76" s="698">
        <f>SUM(L34,L39,L44,L49,L54,L59,L64,L69)</f>
        <v>0</v>
      </c>
    </row>
    <row r="77" spans="1:12" ht="28.5" customHeight="1" x14ac:dyDescent="0.25">
      <c r="A77" s="394">
        <v>2020</v>
      </c>
      <c r="B77" s="1063" t="str">
        <f>"per 31/12/"&amp;$J$13</f>
        <v>per 31/12/2020</v>
      </c>
      <c r="C77" s="1064"/>
      <c r="D77" s="1064"/>
      <c r="E77" s="1065"/>
      <c r="F77" s="697"/>
      <c r="G77" s="698">
        <f>SUM(G35,G40,G45,G50,G55,G60,G65,G70)</f>
        <v>0</v>
      </c>
      <c r="H77" s="698">
        <f>SUM(H35,H40,H45,H50,H55,H60,H65,H70)</f>
        <v>0</v>
      </c>
      <c r="I77" s="698">
        <f>SUM(I35,I40,I45,I50,I55,I60,I65,I70)</f>
        <v>0</v>
      </c>
      <c r="J77" s="698"/>
      <c r="L77" s="698">
        <f>SUM(L35,L40,L45,L50,L55,L60,L65,L70)</f>
        <v>0</v>
      </c>
    </row>
    <row r="78" spans="1:12" s="381" customFormat="1" ht="13" x14ac:dyDescent="0.3">
      <c r="B78" s="1066" t="s">
        <v>268</v>
      </c>
      <c r="C78" s="1066"/>
      <c r="D78" s="1066"/>
      <c r="E78" s="1066"/>
      <c r="G78" s="913">
        <f>(VLOOKUP($D$2,$A$74:$G$77,7,FALSE)+IF($A$74&lt;$D$2,G74,0)+IF($A$75&lt;$D$2,G75,0)+IF($A$76&lt;$D$2,G76,0)+IF($A$77&lt;$D$2,G77,0))-T6A!C90</f>
        <v>0</v>
      </c>
      <c r="H78" s="913">
        <f>(VLOOKUP($D$2,$A$74:$H$77,8,FALSE)+IF($A$74&lt;$D$2,H74,0)+IF($A$75&lt;$D$2,H75,0)+IF($A$76&lt;$D$2,H76,0)+IF($A$77&lt;$D$2,H77,0))-T6A!D90</f>
        <v>0</v>
      </c>
      <c r="I78" s="913">
        <f>(VLOOKUP($D$2,$A$74:$I$77,9,FALSE)+IF($A$74&lt;$D$2,I74,0)+IF($A$75&lt;$D$2,I75,0)+IF($A$76&lt;$D$2,I76,0)+IF($A$77&lt;$D$2,I77,0))-T6A!E90</f>
        <v>0</v>
      </c>
      <c r="J78" s="694"/>
      <c r="K78" s="610"/>
      <c r="L78" s="694">
        <f>(VLOOKUP($D$2,A74:L77,12,FALSE))-T6A!H90</f>
        <v>0</v>
      </c>
    </row>
    <row r="80" spans="1:12" ht="13" x14ac:dyDescent="0.3">
      <c r="G80" s="434" t="s">
        <v>338</v>
      </c>
    </row>
    <row r="81" spans="2:12" ht="13" x14ac:dyDescent="0.3">
      <c r="G81" s="197" t="s">
        <v>263</v>
      </c>
    </row>
    <row r="82" spans="2:12" s="48" customFormat="1" ht="69.75" customHeight="1" x14ac:dyDescent="0.25">
      <c r="B82" s="1060" t="s">
        <v>267</v>
      </c>
      <c r="C82" s="1061"/>
      <c r="D82" s="1061"/>
      <c r="E82" s="1062"/>
      <c r="F82" s="599"/>
      <c r="G82" s="675">
        <v>2017</v>
      </c>
      <c r="H82" s="675">
        <f>+G82+1</f>
        <v>2018</v>
      </c>
      <c r="I82" s="675">
        <f>+H82+1</f>
        <v>2019</v>
      </c>
      <c r="J82" s="675">
        <f>+I82+1</f>
        <v>2020</v>
      </c>
      <c r="K82" s="610"/>
      <c r="L82" s="675" t="s">
        <v>31</v>
      </c>
    </row>
    <row r="83" spans="2:12" s="130" customFormat="1" ht="12" customHeight="1" x14ac:dyDescent="0.25">
      <c r="B83" s="600"/>
      <c r="C83" s="600"/>
      <c r="D83" s="600"/>
      <c r="E83" s="600"/>
      <c r="F83" s="601"/>
      <c r="G83" s="602"/>
      <c r="H83" s="603"/>
      <c r="I83" s="603"/>
      <c r="J83" s="604"/>
      <c r="K83" s="610"/>
      <c r="L83" s="604"/>
    </row>
    <row r="84" spans="2:12" ht="36" customHeight="1" x14ac:dyDescent="0.25">
      <c r="B84" s="1077" t="s">
        <v>131</v>
      </c>
      <c r="C84" s="1078"/>
      <c r="D84" s="1078"/>
      <c r="E84" s="1079"/>
      <c r="F84" s="162"/>
      <c r="G84" s="686"/>
      <c r="H84" s="686"/>
      <c r="I84" s="686"/>
      <c r="J84" s="686"/>
      <c r="K84" s="394"/>
      <c r="L84" s="686"/>
    </row>
    <row r="85" spans="2:12" ht="28.5" customHeight="1" x14ac:dyDescent="0.25">
      <c r="B85" s="1068" t="str">
        <f>"per 31/12/"&amp;$G$13</f>
        <v>per 31/12/2017</v>
      </c>
      <c r="C85" s="1069"/>
      <c r="D85" s="1069"/>
      <c r="E85" s="1070"/>
      <c r="F85" s="162"/>
      <c r="G85" s="687">
        <f>+G$15+G32</f>
        <v>0</v>
      </c>
      <c r="H85" s="684"/>
      <c r="I85" s="684"/>
      <c r="J85" s="684"/>
      <c r="K85" s="394">
        <v>2018</v>
      </c>
      <c r="L85" s="855">
        <f>SUM(G85:J85)</f>
        <v>0</v>
      </c>
    </row>
    <row r="86" spans="2:12" ht="28.5" customHeight="1" x14ac:dyDescent="0.25">
      <c r="B86" s="1068" t="str">
        <f>"per 31/12/"&amp;$H$13</f>
        <v>per 31/12/2018</v>
      </c>
      <c r="C86" s="1069"/>
      <c r="D86" s="1069"/>
      <c r="E86" s="1070"/>
      <c r="F86" s="162"/>
      <c r="G86" s="687">
        <f>+G85+G33</f>
        <v>0</v>
      </c>
      <c r="H86" s="684">
        <f>+$H$15+H33</f>
        <v>0</v>
      </c>
      <c r="I86" s="684"/>
      <c r="J86" s="684"/>
      <c r="K86" s="394">
        <v>2019</v>
      </c>
      <c r="L86" s="855">
        <f>SUM(G86:J86)</f>
        <v>0</v>
      </c>
    </row>
    <row r="87" spans="2:12" ht="28.5" customHeight="1" x14ac:dyDescent="0.25">
      <c r="B87" s="1068" t="str">
        <f>"per 31/12/"&amp;$I$13</f>
        <v>per 31/12/2019</v>
      </c>
      <c r="C87" s="1069"/>
      <c r="D87" s="1069"/>
      <c r="E87" s="1070"/>
      <c r="F87" s="162"/>
      <c r="G87" s="687">
        <f>+G86+G34</f>
        <v>0</v>
      </c>
      <c r="H87" s="684">
        <f>+H86+H34</f>
        <v>0</v>
      </c>
      <c r="I87" s="684">
        <f>+$I$15+I34</f>
        <v>0</v>
      </c>
      <c r="J87" s="684"/>
      <c r="K87" s="394">
        <v>2020</v>
      </c>
      <c r="L87" s="855">
        <f>SUM(G87:J87)</f>
        <v>0</v>
      </c>
    </row>
    <row r="88" spans="2:12" ht="28.5" customHeight="1" x14ac:dyDescent="0.25">
      <c r="B88" s="1068" t="str">
        <f>"per 31/12/"&amp;$J$13</f>
        <v>per 31/12/2020</v>
      </c>
      <c r="C88" s="1069"/>
      <c r="D88" s="1069"/>
      <c r="E88" s="1070"/>
      <c r="F88" s="162"/>
      <c r="G88" s="687">
        <f>+G87+G35</f>
        <v>0</v>
      </c>
      <c r="H88" s="684">
        <f>+H87+H35</f>
        <v>0</v>
      </c>
      <c r="I88" s="684">
        <f>+I87+I35</f>
        <v>0</v>
      </c>
      <c r="J88" s="684">
        <f>+$J$15+J35</f>
        <v>0</v>
      </c>
      <c r="K88" s="394">
        <v>2021</v>
      </c>
      <c r="L88" s="855">
        <f>SUM(G88:J88)</f>
        <v>0</v>
      </c>
    </row>
    <row r="89" spans="2:12" ht="27.75" customHeight="1" x14ac:dyDescent="0.25">
      <c r="B89" s="1077" t="s">
        <v>132</v>
      </c>
      <c r="C89" s="1078"/>
      <c r="D89" s="1078"/>
      <c r="E89" s="1079"/>
      <c r="F89" s="162"/>
      <c r="G89" s="686"/>
      <c r="H89" s="686"/>
      <c r="I89" s="686"/>
      <c r="J89" s="686"/>
      <c r="K89" s="394"/>
      <c r="L89" s="686"/>
    </row>
    <row r="90" spans="2:12" ht="28.5" customHeight="1" x14ac:dyDescent="0.25">
      <c r="B90" s="1068" t="str">
        <f>"per 31/12/"&amp;$G$13</f>
        <v>per 31/12/2017</v>
      </c>
      <c r="C90" s="1069"/>
      <c r="D90" s="1069"/>
      <c r="E90" s="1070"/>
      <c r="F90" s="162"/>
      <c r="G90" s="687">
        <f>+$G$16+G37</f>
        <v>0</v>
      </c>
      <c r="H90" s="684"/>
      <c r="I90" s="684"/>
      <c r="J90" s="684"/>
      <c r="K90" s="394">
        <v>2018</v>
      </c>
      <c r="L90" s="855">
        <f>SUM(G90:J90)</f>
        <v>0</v>
      </c>
    </row>
    <row r="91" spans="2:12" ht="28.5" customHeight="1" x14ac:dyDescent="0.25">
      <c r="B91" s="1068" t="str">
        <f>"per 31/12/"&amp;$H$13</f>
        <v>per 31/12/2018</v>
      </c>
      <c r="C91" s="1069"/>
      <c r="D91" s="1069"/>
      <c r="E91" s="1070"/>
      <c r="F91" s="162"/>
      <c r="G91" s="687">
        <f>+G90+G38</f>
        <v>0</v>
      </c>
      <c r="H91" s="684">
        <f>+$H$16+H38</f>
        <v>0</v>
      </c>
      <c r="I91" s="684"/>
      <c r="J91" s="684"/>
      <c r="K91" s="394">
        <v>2019</v>
      </c>
      <c r="L91" s="855">
        <f>SUM(G91:J91)</f>
        <v>0</v>
      </c>
    </row>
    <row r="92" spans="2:12" ht="28.5" customHeight="1" x14ac:dyDescent="0.25">
      <c r="B92" s="1068" t="str">
        <f>"per 31/12/"&amp;$I$13</f>
        <v>per 31/12/2019</v>
      </c>
      <c r="C92" s="1069"/>
      <c r="D92" s="1069"/>
      <c r="E92" s="1070"/>
      <c r="F92" s="162"/>
      <c r="G92" s="687">
        <f>+G91+G39</f>
        <v>0</v>
      </c>
      <c r="H92" s="684">
        <f>+H91+H39</f>
        <v>0</v>
      </c>
      <c r="I92" s="684">
        <f>+$I$16+I39</f>
        <v>0</v>
      </c>
      <c r="J92" s="684"/>
      <c r="K92" s="394">
        <v>2020</v>
      </c>
      <c r="L92" s="855">
        <f>SUM(G92:J92)</f>
        <v>0</v>
      </c>
    </row>
    <row r="93" spans="2:12" ht="28.5" customHeight="1" x14ac:dyDescent="0.25">
      <c r="B93" s="1068" t="str">
        <f>"per 31/12/"&amp;$J$13</f>
        <v>per 31/12/2020</v>
      </c>
      <c r="C93" s="1069"/>
      <c r="D93" s="1069"/>
      <c r="E93" s="1070"/>
      <c r="F93" s="162"/>
      <c r="G93" s="687">
        <f>+G92+G40</f>
        <v>0</v>
      </c>
      <c r="H93" s="684">
        <f>+H92+H40</f>
        <v>0</v>
      </c>
      <c r="I93" s="684">
        <f>+I92+I40</f>
        <v>0</v>
      </c>
      <c r="J93" s="684">
        <f>+$J$16+J40</f>
        <v>0</v>
      </c>
      <c r="K93" s="394">
        <v>2021</v>
      </c>
      <c r="L93" s="855">
        <f>SUM(G93:J93)</f>
        <v>0</v>
      </c>
    </row>
    <row r="94" spans="2:12" ht="30" customHeight="1" x14ac:dyDescent="0.25">
      <c r="B94" s="1077" t="s">
        <v>138</v>
      </c>
      <c r="C94" s="1078"/>
      <c r="D94" s="1078"/>
      <c r="E94" s="1079"/>
      <c r="F94" s="162"/>
      <c r="G94" s="686"/>
      <c r="H94" s="686"/>
      <c r="I94" s="686"/>
      <c r="J94" s="686"/>
      <c r="K94" s="394"/>
      <c r="L94" s="686"/>
    </row>
    <row r="95" spans="2:12" ht="28.5" customHeight="1" x14ac:dyDescent="0.25">
      <c r="B95" s="1068" t="str">
        <f>"per 31/12/"&amp;$G$13</f>
        <v>per 31/12/2017</v>
      </c>
      <c r="C95" s="1069"/>
      <c r="D95" s="1069"/>
      <c r="E95" s="1070"/>
      <c r="F95" s="162"/>
      <c r="G95" s="687">
        <f>+$G$17+G42</f>
        <v>0</v>
      </c>
      <c r="H95" s="684"/>
      <c r="I95" s="684"/>
      <c r="J95" s="684"/>
      <c r="K95" s="394">
        <v>2018</v>
      </c>
      <c r="L95" s="855">
        <f>SUM(G95:J95)</f>
        <v>0</v>
      </c>
    </row>
    <row r="96" spans="2:12" ht="28.5" customHeight="1" x14ac:dyDescent="0.25">
      <c r="B96" s="1068" t="str">
        <f>"per 31/12/"&amp;$H$13</f>
        <v>per 31/12/2018</v>
      </c>
      <c r="C96" s="1069"/>
      <c r="D96" s="1069"/>
      <c r="E96" s="1070"/>
      <c r="F96" s="162"/>
      <c r="G96" s="687">
        <f>+G95+G43</f>
        <v>0</v>
      </c>
      <c r="H96" s="684">
        <f>+$H$17+H43</f>
        <v>0</v>
      </c>
      <c r="I96" s="684"/>
      <c r="J96" s="684"/>
      <c r="K96" s="394">
        <v>2019</v>
      </c>
      <c r="L96" s="855">
        <f>SUM(G96:J96)</f>
        <v>0</v>
      </c>
    </row>
    <row r="97" spans="2:12" ht="28.5" customHeight="1" x14ac:dyDescent="0.25">
      <c r="B97" s="1068" t="str">
        <f>"per 31/12/"&amp;$I$13</f>
        <v>per 31/12/2019</v>
      </c>
      <c r="C97" s="1069"/>
      <c r="D97" s="1069"/>
      <c r="E97" s="1070"/>
      <c r="F97" s="162"/>
      <c r="G97" s="687">
        <f>+G96+G44</f>
        <v>0</v>
      </c>
      <c r="H97" s="684">
        <f>+H96+H44</f>
        <v>0</v>
      </c>
      <c r="I97" s="684">
        <f>+$I$17+I44</f>
        <v>0</v>
      </c>
      <c r="J97" s="684"/>
      <c r="K97" s="394">
        <v>2020</v>
      </c>
      <c r="L97" s="855">
        <f>SUM(G97:J97)</f>
        <v>0</v>
      </c>
    </row>
    <row r="98" spans="2:12" ht="28.5" customHeight="1" x14ac:dyDescent="0.25">
      <c r="B98" s="1068" t="str">
        <f>"per 31/12/"&amp;$J$13</f>
        <v>per 31/12/2020</v>
      </c>
      <c r="C98" s="1069"/>
      <c r="D98" s="1069"/>
      <c r="E98" s="1070"/>
      <c r="F98" s="162"/>
      <c r="G98" s="687">
        <f>+G97+G45</f>
        <v>0</v>
      </c>
      <c r="H98" s="684">
        <f>+H97+H45</f>
        <v>0</v>
      </c>
      <c r="I98" s="684">
        <f>+I97+I45</f>
        <v>0</v>
      </c>
      <c r="J98" s="684">
        <f>+$J$17+J45</f>
        <v>0</v>
      </c>
      <c r="K98" s="394">
        <v>2021</v>
      </c>
      <c r="L98" s="855">
        <f>SUM(G98:J98)</f>
        <v>0</v>
      </c>
    </row>
    <row r="99" spans="2:12" ht="30" customHeight="1" x14ac:dyDescent="0.25">
      <c r="B99" s="1077" t="s">
        <v>133</v>
      </c>
      <c r="C99" s="1078"/>
      <c r="D99" s="1078"/>
      <c r="E99" s="1079"/>
      <c r="F99" s="162"/>
      <c r="G99" s="686"/>
      <c r="H99" s="686"/>
      <c r="I99" s="686"/>
      <c r="J99" s="686"/>
      <c r="K99" s="394"/>
      <c r="L99" s="686"/>
    </row>
    <row r="100" spans="2:12" ht="28.5" customHeight="1" x14ac:dyDescent="0.25">
      <c r="B100" s="1068" t="str">
        <f>"per 31/12/"&amp;$G$13</f>
        <v>per 31/12/2017</v>
      </c>
      <c r="C100" s="1069"/>
      <c r="D100" s="1069"/>
      <c r="E100" s="1070"/>
      <c r="F100" s="162"/>
      <c r="G100" s="687">
        <f>+$G$18+G47</f>
        <v>0</v>
      </c>
      <c r="H100" s="684"/>
      <c r="I100" s="684"/>
      <c r="J100" s="684"/>
      <c r="K100" s="394">
        <v>2018</v>
      </c>
      <c r="L100" s="855">
        <f>SUM(G100:J100)</f>
        <v>0</v>
      </c>
    </row>
    <row r="101" spans="2:12" ht="28.5" customHeight="1" x14ac:dyDescent="0.25">
      <c r="B101" s="1068" t="str">
        <f>"per 31/12/"&amp;$H$13</f>
        <v>per 31/12/2018</v>
      </c>
      <c r="C101" s="1069"/>
      <c r="D101" s="1069"/>
      <c r="E101" s="1070"/>
      <c r="F101" s="162"/>
      <c r="G101" s="687">
        <f>+G100+G48</f>
        <v>0</v>
      </c>
      <c r="H101" s="684">
        <f>+$H$18+H48</f>
        <v>0</v>
      </c>
      <c r="I101" s="684"/>
      <c r="J101" s="684"/>
      <c r="K101" s="394">
        <v>2019</v>
      </c>
      <c r="L101" s="855">
        <f>SUM(G101:J101)</f>
        <v>0</v>
      </c>
    </row>
    <row r="102" spans="2:12" ht="28.5" customHeight="1" x14ac:dyDescent="0.25">
      <c r="B102" s="1068" t="str">
        <f>"per 31/12/"&amp;$I$13</f>
        <v>per 31/12/2019</v>
      </c>
      <c r="C102" s="1069"/>
      <c r="D102" s="1069"/>
      <c r="E102" s="1070"/>
      <c r="F102" s="162"/>
      <c r="G102" s="687">
        <f>+G101+G49</f>
        <v>0</v>
      </c>
      <c r="H102" s="684">
        <f>+H101+H49</f>
        <v>0</v>
      </c>
      <c r="I102" s="684">
        <f>+$I$18+I49</f>
        <v>0</v>
      </c>
      <c r="J102" s="684"/>
      <c r="K102" s="394">
        <v>2020</v>
      </c>
      <c r="L102" s="855">
        <f>SUM(G102:J102)</f>
        <v>0</v>
      </c>
    </row>
    <row r="103" spans="2:12" ht="28.5" customHeight="1" x14ac:dyDescent="0.25">
      <c r="B103" s="1068" t="str">
        <f>"per 31/12/"&amp;$J$13</f>
        <v>per 31/12/2020</v>
      </c>
      <c r="C103" s="1069"/>
      <c r="D103" s="1069"/>
      <c r="E103" s="1070"/>
      <c r="F103" s="162"/>
      <c r="G103" s="687">
        <f>+G102+G50</f>
        <v>0</v>
      </c>
      <c r="H103" s="684">
        <f>+H102+H50</f>
        <v>0</v>
      </c>
      <c r="I103" s="684">
        <f>+I102+I50</f>
        <v>0</v>
      </c>
      <c r="J103" s="684">
        <f>+$J$18+J50</f>
        <v>0</v>
      </c>
      <c r="K103" s="394">
        <v>2021</v>
      </c>
      <c r="L103" s="855">
        <f>SUM(G103:J103)</f>
        <v>0</v>
      </c>
    </row>
    <row r="104" spans="2:12" ht="27" customHeight="1" x14ac:dyDescent="0.25">
      <c r="B104" s="1080" t="s">
        <v>239</v>
      </c>
      <c r="C104" s="1080"/>
      <c r="D104" s="1080"/>
      <c r="E104" s="1080"/>
      <c r="F104" s="162"/>
      <c r="G104" s="686"/>
      <c r="H104" s="686"/>
      <c r="I104" s="686"/>
      <c r="J104" s="686"/>
      <c r="K104" s="394"/>
      <c r="L104" s="686"/>
    </row>
    <row r="105" spans="2:12" ht="28.5" customHeight="1" x14ac:dyDescent="0.25">
      <c r="B105" s="1068" t="str">
        <f>"per 31/12/"&amp;$G$13</f>
        <v>per 31/12/2017</v>
      </c>
      <c r="C105" s="1069"/>
      <c r="D105" s="1069"/>
      <c r="E105" s="1070"/>
      <c r="F105" s="162"/>
      <c r="G105" s="687">
        <f>+$G$19+G52</f>
        <v>0</v>
      </c>
      <c r="H105" s="684"/>
      <c r="I105" s="684"/>
      <c r="J105" s="684"/>
      <c r="K105" s="394">
        <v>2018</v>
      </c>
      <c r="L105" s="855">
        <f>SUM(G105:J105)</f>
        <v>0</v>
      </c>
    </row>
    <row r="106" spans="2:12" ht="28.5" customHeight="1" x14ac:dyDescent="0.25">
      <c r="B106" s="1068" t="str">
        <f>"per 31/12/"&amp;$H$13</f>
        <v>per 31/12/2018</v>
      </c>
      <c r="C106" s="1069"/>
      <c r="D106" s="1069"/>
      <c r="E106" s="1070"/>
      <c r="F106" s="162"/>
      <c r="G106" s="687">
        <f>+G105+G53</f>
        <v>0</v>
      </c>
      <c r="H106" s="684">
        <f>+$H$19+H53</f>
        <v>0</v>
      </c>
      <c r="I106" s="684"/>
      <c r="J106" s="684"/>
      <c r="K106" s="394">
        <v>2019</v>
      </c>
      <c r="L106" s="855">
        <f>SUM(G106:J106)</f>
        <v>0</v>
      </c>
    </row>
    <row r="107" spans="2:12" ht="28.5" customHeight="1" x14ac:dyDescent="0.25">
      <c r="B107" s="1068" t="str">
        <f>"per 31/12/"&amp;$I$13</f>
        <v>per 31/12/2019</v>
      </c>
      <c r="C107" s="1069"/>
      <c r="D107" s="1069"/>
      <c r="E107" s="1070"/>
      <c r="F107" s="162"/>
      <c r="G107" s="687">
        <f>+G106+G54</f>
        <v>0</v>
      </c>
      <c r="H107" s="684">
        <f>+H106+H54</f>
        <v>0</v>
      </c>
      <c r="I107" s="684">
        <f>+$I$19+I54</f>
        <v>0</v>
      </c>
      <c r="J107" s="684"/>
      <c r="K107" s="394">
        <v>2020</v>
      </c>
      <c r="L107" s="855">
        <f>SUM(G107:J107)</f>
        <v>0</v>
      </c>
    </row>
    <row r="108" spans="2:12" ht="28.5" customHeight="1" x14ac:dyDescent="0.25">
      <c r="B108" s="1068" t="str">
        <f>"per 31/12/"&amp;$J$13</f>
        <v>per 31/12/2020</v>
      </c>
      <c r="C108" s="1069"/>
      <c r="D108" s="1069"/>
      <c r="E108" s="1070"/>
      <c r="F108" s="162"/>
      <c r="G108" s="687">
        <f>+G107+G55</f>
        <v>0</v>
      </c>
      <c r="H108" s="684">
        <f>+H107+H55</f>
        <v>0</v>
      </c>
      <c r="I108" s="684">
        <f>+I107+I55</f>
        <v>0</v>
      </c>
      <c r="J108" s="684">
        <f>+$J$19+J55</f>
        <v>0</v>
      </c>
      <c r="K108" s="394">
        <v>2021</v>
      </c>
      <c r="L108" s="855">
        <f>SUM(G108:J108)</f>
        <v>0</v>
      </c>
    </row>
    <row r="109" spans="2:12" ht="26.25" customHeight="1" x14ac:dyDescent="0.25">
      <c r="B109" s="1077" t="s">
        <v>237</v>
      </c>
      <c r="C109" s="1078"/>
      <c r="D109" s="1078"/>
      <c r="E109" s="1079"/>
      <c r="F109" s="162"/>
      <c r="G109" s="686"/>
      <c r="H109" s="686"/>
      <c r="I109" s="686"/>
      <c r="J109" s="686"/>
      <c r="K109" s="394"/>
      <c r="L109" s="686"/>
    </row>
    <row r="110" spans="2:12" ht="28.5" customHeight="1" x14ac:dyDescent="0.25">
      <c r="B110" s="1068" t="str">
        <f>"per 31/12/"&amp;$G$13</f>
        <v>per 31/12/2017</v>
      </c>
      <c r="C110" s="1069"/>
      <c r="D110" s="1069"/>
      <c r="E110" s="1070"/>
      <c r="F110" s="162"/>
      <c r="G110" s="687">
        <f>+$G$20+G57</f>
        <v>0</v>
      </c>
      <c r="H110" s="684"/>
      <c r="I110" s="684"/>
      <c r="J110" s="684"/>
      <c r="K110" s="394">
        <v>2018</v>
      </c>
      <c r="L110" s="855">
        <f>SUM(G110:J110)</f>
        <v>0</v>
      </c>
    </row>
    <row r="111" spans="2:12" ht="28.5" customHeight="1" x14ac:dyDescent="0.25">
      <c r="B111" s="1068" t="str">
        <f>"per 31/12/"&amp;$H$13</f>
        <v>per 31/12/2018</v>
      </c>
      <c r="C111" s="1069"/>
      <c r="D111" s="1069"/>
      <c r="E111" s="1070"/>
      <c r="F111" s="162"/>
      <c r="G111" s="687">
        <f>+G110+G58</f>
        <v>0</v>
      </c>
      <c r="H111" s="684">
        <f>+$H$20+H58</f>
        <v>0</v>
      </c>
      <c r="I111" s="684"/>
      <c r="J111" s="684"/>
      <c r="K111" s="394">
        <v>2019</v>
      </c>
      <c r="L111" s="855">
        <f>SUM(G111:J111)</f>
        <v>0</v>
      </c>
    </row>
    <row r="112" spans="2:12" ht="28.5" customHeight="1" x14ac:dyDescent="0.25">
      <c r="B112" s="1068" t="str">
        <f>"per 31/12/"&amp;$I$13</f>
        <v>per 31/12/2019</v>
      </c>
      <c r="C112" s="1069"/>
      <c r="D112" s="1069"/>
      <c r="E112" s="1070"/>
      <c r="F112" s="162"/>
      <c r="G112" s="687">
        <f>+G111+G59</f>
        <v>0</v>
      </c>
      <c r="H112" s="684">
        <f>+H111+H59</f>
        <v>0</v>
      </c>
      <c r="I112" s="684">
        <f>+$I$20+I59</f>
        <v>0</v>
      </c>
      <c r="J112" s="684"/>
      <c r="K112" s="394">
        <v>2020</v>
      </c>
      <c r="L112" s="855">
        <f>SUM(G112:J112)</f>
        <v>0</v>
      </c>
    </row>
    <row r="113" spans="1:12" ht="28.5" customHeight="1" x14ac:dyDescent="0.25">
      <c r="B113" s="1068" t="str">
        <f>"per 31/12/"&amp;$J$13</f>
        <v>per 31/12/2020</v>
      </c>
      <c r="C113" s="1069"/>
      <c r="D113" s="1069"/>
      <c r="E113" s="1070"/>
      <c r="F113" s="162"/>
      <c r="G113" s="687">
        <f>+G112+G60</f>
        <v>0</v>
      </c>
      <c r="H113" s="684">
        <f>+H112+H60</f>
        <v>0</v>
      </c>
      <c r="I113" s="684">
        <f>+I112+I60</f>
        <v>0</v>
      </c>
      <c r="J113" s="684">
        <f>+$J$20+J60</f>
        <v>0</v>
      </c>
      <c r="K113" s="394">
        <v>2021</v>
      </c>
      <c r="L113" s="855">
        <f>SUM(G113:J113)</f>
        <v>0</v>
      </c>
    </row>
    <row r="114" spans="1:12" ht="30" customHeight="1" x14ac:dyDescent="0.25">
      <c r="B114" s="1077" t="s">
        <v>287</v>
      </c>
      <c r="C114" s="1078"/>
      <c r="D114" s="1078"/>
      <c r="E114" s="1079"/>
      <c r="F114" s="162"/>
      <c r="G114" s="686"/>
      <c r="H114" s="686"/>
      <c r="I114" s="686"/>
      <c r="J114" s="686"/>
      <c r="K114" s="394"/>
      <c r="L114" s="686"/>
    </row>
    <row r="115" spans="1:12" ht="28.5" customHeight="1" x14ac:dyDescent="0.25">
      <c r="B115" s="1068" t="str">
        <f>"per 31/12/"&amp;$G$13</f>
        <v>per 31/12/2017</v>
      </c>
      <c r="C115" s="1069"/>
      <c r="D115" s="1069"/>
      <c r="E115" s="1070"/>
      <c r="F115" s="162"/>
      <c r="G115" s="687">
        <f>+$G$21+G62</f>
        <v>0</v>
      </c>
      <c r="H115" s="684"/>
      <c r="I115" s="684"/>
      <c r="J115" s="684"/>
      <c r="K115" s="394">
        <v>2018</v>
      </c>
      <c r="L115" s="855">
        <f>SUM(G115:J115)</f>
        <v>0</v>
      </c>
    </row>
    <row r="116" spans="1:12" ht="28.5" customHeight="1" x14ac:dyDescent="0.25">
      <c r="B116" s="1068" t="str">
        <f>"per 31/12/"&amp;$H$13</f>
        <v>per 31/12/2018</v>
      </c>
      <c r="C116" s="1069"/>
      <c r="D116" s="1069"/>
      <c r="E116" s="1070"/>
      <c r="F116" s="162"/>
      <c r="G116" s="687">
        <f>+G115+G63</f>
        <v>0</v>
      </c>
      <c r="H116" s="684">
        <f>+$H$21+H63</f>
        <v>0</v>
      </c>
      <c r="I116" s="684"/>
      <c r="J116" s="684"/>
      <c r="K116" s="394">
        <v>2019</v>
      </c>
      <c r="L116" s="855">
        <f>SUM(G116:J116)</f>
        <v>0</v>
      </c>
    </row>
    <row r="117" spans="1:12" ht="28.5" customHeight="1" x14ac:dyDescent="0.25">
      <c r="B117" s="1068" t="str">
        <f>"per 31/12/"&amp;$I$13</f>
        <v>per 31/12/2019</v>
      </c>
      <c r="C117" s="1069"/>
      <c r="D117" s="1069"/>
      <c r="E117" s="1070"/>
      <c r="F117" s="162"/>
      <c r="G117" s="687">
        <f>+G116+G64</f>
        <v>0</v>
      </c>
      <c r="H117" s="684">
        <f>+H116+H64</f>
        <v>0</v>
      </c>
      <c r="I117" s="684">
        <f>+$I$21+I64</f>
        <v>0</v>
      </c>
      <c r="J117" s="684"/>
      <c r="K117" s="394">
        <v>2020</v>
      </c>
      <c r="L117" s="855">
        <f>SUM(G117:J117)</f>
        <v>0</v>
      </c>
    </row>
    <row r="118" spans="1:12" ht="28.5" customHeight="1" x14ac:dyDescent="0.25">
      <c r="B118" s="1068" t="str">
        <f>"per 31/12/"&amp;$J$13</f>
        <v>per 31/12/2020</v>
      </c>
      <c r="C118" s="1069"/>
      <c r="D118" s="1069"/>
      <c r="E118" s="1070"/>
      <c r="F118" s="162"/>
      <c r="G118" s="687">
        <f>+G117+G65</f>
        <v>0</v>
      </c>
      <c r="H118" s="684">
        <f>+H117+H65</f>
        <v>0</v>
      </c>
      <c r="I118" s="684">
        <f>+I117+I65</f>
        <v>0</v>
      </c>
      <c r="J118" s="684">
        <f>+$J$21+J65</f>
        <v>0</v>
      </c>
      <c r="K118" s="394">
        <v>2021</v>
      </c>
      <c r="L118" s="855">
        <f>SUM(G118:J118)</f>
        <v>0</v>
      </c>
    </row>
    <row r="119" spans="1:12" ht="33" customHeight="1" x14ac:dyDescent="0.25">
      <c r="B119" s="1074" t="s">
        <v>134</v>
      </c>
      <c r="C119" s="1075"/>
      <c r="D119" s="1075"/>
      <c r="E119" s="1076"/>
      <c r="F119" s="162"/>
      <c r="G119" s="686"/>
      <c r="H119" s="686"/>
      <c r="I119" s="686"/>
      <c r="J119" s="686"/>
      <c r="K119" s="394"/>
      <c r="L119" s="686"/>
    </row>
    <row r="120" spans="1:12" ht="28.5" customHeight="1" x14ac:dyDescent="0.25">
      <c r="B120" s="1068" t="str">
        <f>"per 31/12/"&amp;$G$13</f>
        <v>per 31/12/2017</v>
      </c>
      <c r="C120" s="1069"/>
      <c r="D120" s="1069"/>
      <c r="E120" s="1070"/>
      <c r="F120" s="162"/>
      <c r="G120" s="687">
        <f>+$G$22+G67</f>
        <v>0</v>
      </c>
      <c r="H120" s="684"/>
      <c r="I120" s="684"/>
      <c r="J120" s="684"/>
      <c r="K120" s="394">
        <v>2018</v>
      </c>
      <c r="L120" s="855">
        <f>SUM(G120:J120)</f>
        <v>0</v>
      </c>
    </row>
    <row r="121" spans="1:12" ht="28.5" customHeight="1" x14ac:dyDescent="0.25">
      <c r="B121" s="1068" t="str">
        <f>"per 31/12/"&amp;$H$13</f>
        <v>per 31/12/2018</v>
      </c>
      <c r="C121" s="1069"/>
      <c r="D121" s="1069"/>
      <c r="E121" s="1070"/>
      <c r="F121" s="162"/>
      <c r="G121" s="687">
        <f>+G120+G68</f>
        <v>0</v>
      </c>
      <c r="H121" s="684">
        <f>+$H$22+H68</f>
        <v>0</v>
      </c>
      <c r="I121" s="684"/>
      <c r="J121" s="684"/>
      <c r="K121" s="394">
        <v>2019</v>
      </c>
      <c r="L121" s="855">
        <f>SUM(G121:J121)</f>
        <v>0</v>
      </c>
    </row>
    <row r="122" spans="1:12" ht="28.5" customHeight="1" x14ac:dyDescent="0.25">
      <c r="B122" s="1068" t="str">
        <f>"per 31/12/"&amp;$I$13</f>
        <v>per 31/12/2019</v>
      </c>
      <c r="C122" s="1069"/>
      <c r="D122" s="1069"/>
      <c r="E122" s="1070"/>
      <c r="F122" s="162"/>
      <c r="G122" s="687">
        <f>+G121+G69</f>
        <v>0</v>
      </c>
      <c r="H122" s="684">
        <f>+H121+H69</f>
        <v>0</v>
      </c>
      <c r="I122" s="684">
        <f>+$I$22+I69</f>
        <v>0</v>
      </c>
      <c r="J122" s="684"/>
      <c r="K122" s="394">
        <v>2020</v>
      </c>
      <c r="L122" s="855">
        <f>SUM(G122:J122)</f>
        <v>0</v>
      </c>
    </row>
    <row r="123" spans="1:12" ht="28.5" customHeight="1" x14ac:dyDescent="0.25">
      <c r="B123" s="1068" t="str">
        <f>"per 31/12/"&amp;$J$13</f>
        <v>per 31/12/2020</v>
      </c>
      <c r="C123" s="1069"/>
      <c r="D123" s="1069"/>
      <c r="E123" s="1070"/>
      <c r="F123" s="162"/>
      <c r="G123" s="687">
        <f>+G122+G70</f>
        <v>0</v>
      </c>
      <c r="H123" s="684">
        <f>+H122+H70</f>
        <v>0</v>
      </c>
      <c r="I123" s="684">
        <f>+I122+I70</f>
        <v>0</v>
      </c>
      <c r="J123" s="684">
        <f>+$J$22+J70</f>
        <v>0</v>
      </c>
      <c r="K123" s="394">
        <v>2021</v>
      </c>
      <c r="L123" s="855">
        <f>SUM(G123:J123)</f>
        <v>0</v>
      </c>
    </row>
    <row r="124" spans="1:12" x14ac:dyDescent="0.25">
      <c r="G124" s="680"/>
      <c r="H124" s="680"/>
      <c r="I124" s="680"/>
      <c r="J124" s="680"/>
      <c r="K124" s="394"/>
      <c r="L124" s="680"/>
    </row>
    <row r="125" spans="1:12" s="381" customFormat="1" ht="13" x14ac:dyDescent="0.3">
      <c r="B125" s="1168"/>
      <c r="C125" s="1168"/>
      <c r="D125" s="1168"/>
      <c r="E125" s="1168"/>
      <c r="G125" s="675">
        <v>2017</v>
      </c>
      <c r="H125" s="675">
        <f>+G125+1</f>
        <v>2018</v>
      </c>
      <c r="I125" s="675">
        <f>+H125+1</f>
        <v>2019</v>
      </c>
      <c r="J125" s="675">
        <f>+I125+1</f>
        <v>2020</v>
      </c>
      <c r="K125" s="394"/>
      <c r="L125" s="675" t="s">
        <v>31</v>
      </c>
    </row>
    <row r="126" spans="1:12" s="685" customFormat="1" ht="20.25" customHeight="1" x14ac:dyDescent="0.25">
      <c r="B126" s="1071" t="s">
        <v>336</v>
      </c>
      <c r="C126" s="1072"/>
      <c r="D126" s="1072"/>
      <c r="E126" s="1073"/>
      <c r="F126" s="695"/>
      <c r="G126" s="696"/>
      <c r="H126" s="696"/>
      <c r="I126" s="696"/>
      <c r="J126" s="696"/>
      <c r="K126" s="394"/>
      <c r="L126" s="696"/>
    </row>
    <row r="127" spans="1:12" ht="28.5" customHeight="1" x14ac:dyDescent="0.25">
      <c r="A127" s="394">
        <v>2017</v>
      </c>
      <c r="B127" s="1063" t="str">
        <f>"per 31/12/"&amp;$G$13</f>
        <v>per 31/12/2017</v>
      </c>
      <c r="C127" s="1064"/>
      <c r="D127" s="1064"/>
      <c r="E127" s="1065"/>
      <c r="F127" s="697"/>
      <c r="G127" s="853">
        <f t="shared" ref="G127:J130" si="1">SUM(G85,G90,G95,G100,G105,G110,G115,G120)</f>
        <v>0</v>
      </c>
      <c r="H127" s="698"/>
      <c r="I127" s="698"/>
      <c r="J127" s="698"/>
      <c r="K127" s="394">
        <v>2018</v>
      </c>
      <c r="L127" s="856">
        <f>SUM(G127:J127)</f>
        <v>0</v>
      </c>
    </row>
    <row r="128" spans="1:12" ht="28.5" customHeight="1" x14ac:dyDescent="0.25">
      <c r="A128" s="394">
        <v>2018</v>
      </c>
      <c r="B128" s="1063" t="str">
        <f>"per 31/12/"&amp;$H$13</f>
        <v>per 31/12/2018</v>
      </c>
      <c r="C128" s="1064"/>
      <c r="D128" s="1064"/>
      <c r="E128" s="1065"/>
      <c r="F128" s="697"/>
      <c r="G128" s="853">
        <f t="shared" si="1"/>
        <v>0</v>
      </c>
      <c r="H128" s="698">
        <f t="shared" si="1"/>
        <v>0</v>
      </c>
      <c r="I128" s="698"/>
      <c r="J128" s="698"/>
      <c r="K128" s="394">
        <v>2019</v>
      </c>
      <c r="L128" s="856">
        <f>SUM(G128:J128)</f>
        <v>0</v>
      </c>
    </row>
    <row r="129" spans="1:12" ht="28.5" customHeight="1" x14ac:dyDescent="0.25">
      <c r="A129" s="394">
        <v>2019</v>
      </c>
      <c r="B129" s="1063" t="str">
        <f>"per 31/12/"&amp;$I$13</f>
        <v>per 31/12/2019</v>
      </c>
      <c r="C129" s="1064"/>
      <c r="D129" s="1064"/>
      <c r="E129" s="1065"/>
      <c r="F129" s="697"/>
      <c r="G129" s="853">
        <f t="shared" si="1"/>
        <v>0</v>
      </c>
      <c r="H129" s="698">
        <f t="shared" si="1"/>
        <v>0</v>
      </c>
      <c r="I129" s="698">
        <f t="shared" si="1"/>
        <v>0</v>
      </c>
      <c r="J129" s="698"/>
      <c r="K129" s="394">
        <v>2020</v>
      </c>
      <c r="L129" s="856">
        <f>SUM(G129:J129)</f>
        <v>0</v>
      </c>
    </row>
    <row r="130" spans="1:12" ht="28.5" customHeight="1" x14ac:dyDescent="0.25">
      <c r="A130" s="394">
        <v>2020</v>
      </c>
      <c r="B130" s="1063" t="str">
        <f>"per 31/12/"&amp;$J$13</f>
        <v>per 31/12/2020</v>
      </c>
      <c r="C130" s="1064"/>
      <c r="D130" s="1064"/>
      <c r="E130" s="1065"/>
      <c r="F130" s="697"/>
      <c r="G130" s="853">
        <f t="shared" si="1"/>
        <v>0</v>
      </c>
      <c r="H130" s="698">
        <f t="shared" si="1"/>
        <v>0</v>
      </c>
      <c r="I130" s="698">
        <f t="shared" si="1"/>
        <v>0</v>
      </c>
      <c r="J130" s="698">
        <f t="shared" si="1"/>
        <v>0</v>
      </c>
      <c r="K130" s="394">
        <v>2021</v>
      </c>
      <c r="L130" s="856">
        <f>SUM(G130:J130)</f>
        <v>0</v>
      </c>
    </row>
    <row r="131" spans="1:12" s="381" customFormat="1" ht="13" x14ac:dyDescent="0.3">
      <c r="B131" s="1066" t="s">
        <v>268</v>
      </c>
      <c r="C131" s="1066"/>
      <c r="D131" s="1066"/>
      <c r="E131" s="1066"/>
      <c r="G131" s="854">
        <f>(VLOOKUP(D2,A127:G130,7,FALSE))-T6A!C80</f>
        <v>0</v>
      </c>
      <c r="H131" s="694">
        <f>(VLOOKUP($D$2,A127:H130,8,FALSE))-T6A!D80</f>
        <v>0</v>
      </c>
      <c r="I131" s="694">
        <f>(VLOOKUP(D2,A127:I130,9,FALSE))-T6A!E80</f>
        <v>0</v>
      </c>
      <c r="J131" s="694">
        <f>(VLOOKUP($D$2,A127:J130,10,FALSE))-T6A!F80</f>
        <v>0</v>
      </c>
      <c r="K131" s="394"/>
      <c r="L131" s="854">
        <f>(VLOOKUP(D2,A127:L130,12,FALSE))-T6A!H80</f>
        <v>0</v>
      </c>
    </row>
    <row r="132" spans="1:12" ht="13" x14ac:dyDescent="0.3">
      <c r="B132" s="390"/>
      <c r="C132" s="390"/>
      <c r="D132" s="390"/>
      <c r="E132" s="390"/>
      <c r="F132" s="391"/>
      <c r="G132" s="392"/>
      <c r="H132" s="392"/>
      <c r="I132" s="392"/>
      <c r="J132" s="392"/>
    </row>
    <row r="133" spans="1:12" ht="13" x14ac:dyDescent="0.3">
      <c r="B133" s="390"/>
      <c r="C133" s="390"/>
      <c r="D133" s="390"/>
      <c r="E133" s="390"/>
      <c r="F133" s="391"/>
      <c r="G133" s="392"/>
      <c r="H133" s="392"/>
      <c r="I133" s="392"/>
      <c r="J133" s="392"/>
    </row>
    <row r="134" spans="1:12" ht="13" x14ac:dyDescent="0.3">
      <c r="B134" s="390"/>
      <c r="C134" s="390"/>
      <c r="D134" s="390"/>
      <c r="E134" s="390"/>
      <c r="F134" s="391"/>
      <c r="G134" s="435" t="s">
        <v>56</v>
      </c>
      <c r="H134" s="392"/>
      <c r="I134" s="392"/>
      <c r="J134" s="392"/>
    </row>
    <row r="135" spans="1:12" ht="13" x14ac:dyDescent="0.3">
      <c r="G135" s="435" t="s">
        <v>57</v>
      </c>
      <c r="H135" s="392"/>
      <c r="I135" s="392"/>
      <c r="J135" s="392"/>
    </row>
    <row r="136" spans="1:12" ht="91.5" customHeight="1" x14ac:dyDescent="0.3">
      <c r="B136" s="1089" t="s">
        <v>130</v>
      </c>
      <c r="C136" s="1090"/>
      <c r="D136" s="1090"/>
      <c r="E136" s="1091"/>
      <c r="F136" s="162"/>
      <c r="G136" s="681" t="str">
        <f>"Afbouw van het regulatoir saldo inzake herindexering budget endogene kosten op te nemen in het toegelaten inkomen voor boekjaar "&amp;D2&amp;", en dit conform de bepalingen in de tariefmethodologie omtrent de afbouw van het betreffende regulatoir saldo"</f>
        <v>Afbouw van het regulatoir saldo inzake herindexering budget endogene kosten op te nemen in het toegelaten inkomen voor boekjaar 2019, en dit conform de bepalingen in de tariefmethodologie omtrent de afbouw van het betreffende regulatoir saldo</v>
      </c>
      <c r="H136" s="392"/>
      <c r="I136" s="392"/>
      <c r="J136" s="392"/>
    </row>
    <row r="137" spans="1:12" ht="13" x14ac:dyDescent="0.3">
      <c r="B137" s="384"/>
      <c r="C137" s="384"/>
      <c r="D137" s="384"/>
      <c r="E137" s="384"/>
      <c r="F137" s="385"/>
      <c r="G137" s="386"/>
      <c r="H137" s="392"/>
      <c r="I137" s="392"/>
      <c r="J137" s="392"/>
    </row>
    <row r="138" spans="1:12" s="685" customFormat="1" ht="28.5" customHeight="1" x14ac:dyDescent="0.3">
      <c r="B138" s="1081" t="s">
        <v>131</v>
      </c>
      <c r="C138" s="1081"/>
      <c r="D138" s="1081"/>
      <c r="E138" s="1081"/>
      <c r="F138" s="688"/>
      <c r="G138" s="684">
        <f>VLOOKUP($D$2,B175:C177,2,FALSE)</f>
        <v>0</v>
      </c>
      <c r="H138" s="392"/>
      <c r="I138" s="392"/>
      <c r="J138" s="392"/>
      <c r="K138" s="610"/>
      <c r="L138" s="20"/>
    </row>
    <row r="139" spans="1:12" s="685" customFormat="1" ht="18.75" customHeight="1" x14ac:dyDescent="0.3">
      <c r="B139" s="1081" t="s">
        <v>132</v>
      </c>
      <c r="C139" s="1081"/>
      <c r="D139" s="1081"/>
      <c r="E139" s="1081"/>
      <c r="F139" s="688"/>
      <c r="G139" s="909">
        <f>VLOOKUP($D$2,B205:C207,2,FALSE)</f>
        <v>0</v>
      </c>
      <c r="H139" s="392"/>
      <c r="I139" s="392"/>
      <c r="J139" s="392"/>
      <c r="K139" s="610"/>
      <c r="L139" s="20"/>
    </row>
    <row r="140" spans="1:12" s="685" customFormat="1" ht="19.5" customHeight="1" x14ac:dyDescent="0.3">
      <c r="B140" s="1081" t="s">
        <v>138</v>
      </c>
      <c r="C140" s="1081"/>
      <c r="D140" s="1081"/>
      <c r="E140" s="1081"/>
      <c r="F140" s="688"/>
      <c r="G140" s="909">
        <f>VLOOKUP($D$2,B235:C237,2,FALSE)</f>
        <v>0</v>
      </c>
      <c r="H140" s="392"/>
      <c r="I140" s="392"/>
      <c r="J140" s="392"/>
      <c r="K140" s="610"/>
      <c r="L140" s="20"/>
    </row>
    <row r="141" spans="1:12" s="685" customFormat="1" ht="17.25" customHeight="1" x14ac:dyDescent="0.3">
      <c r="B141" s="1081" t="s">
        <v>133</v>
      </c>
      <c r="C141" s="1081"/>
      <c r="D141" s="1081"/>
      <c r="E141" s="1081"/>
      <c r="F141" s="688"/>
      <c r="G141" s="909">
        <f>VLOOKUP($D$2,B265:C267,2,FALSE)</f>
        <v>0</v>
      </c>
      <c r="H141" s="392"/>
      <c r="I141" s="392"/>
      <c r="J141" s="392"/>
      <c r="K141" s="610"/>
      <c r="L141" s="20"/>
    </row>
    <row r="142" spans="1:12" s="685" customFormat="1" ht="29.25" customHeight="1" x14ac:dyDescent="0.3">
      <c r="B142" s="1081" t="s">
        <v>239</v>
      </c>
      <c r="C142" s="1081"/>
      <c r="D142" s="1081"/>
      <c r="E142" s="1081"/>
      <c r="F142" s="688"/>
      <c r="G142" s="909">
        <f>VLOOKUP($D$2,B295:C297,2,FALSE)</f>
        <v>0</v>
      </c>
      <c r="H142" s="392"/>
      <c r="I142" s="392"/>
      <c r="J142" s="392"/>
      <c r="K142" s="893"/>
    </row>
    <row r="143" spans="1:12" s="685" customFormat="1" ht="19.5" customHeight="1" x14ac:dyDescent="0.3">
      <c r="B143" s="1081" t="s">
        <v>237</v>
      </c>
      <c r="C143" s="1081"/>
      <c r="D143" s="1081"/>
      <c r="E143" s="1081"/>
      <c r="F143" s="688"/>
      <c r="G143" s="909">
        <f>VLOOKUP($D$2,B325:C327,2,FALSE)</f>
        <v>0</v>
      </c>
      <c r="H143" s="392"/>
      <c r="I143" s="392"/>
      <c r="J143" s="392"/>
      <c r="K143" s="893"/>
    </row>
    <row r="144" spans="1:12" s="685" customFormat="1" ht="29.25" customHeight="1" x14ac:dyDescent="0.3">
      <c r="B144" s="1081" t="s">
        <v>287</v>
      </c>
      <c r="C144" s="1081"/>
      <c r="D144" s="1081"/>
      <c r="E144" s="1081"/>
      <c r="F144" s="688"/>
      <c r="G144" s="909">
        <f>VLOOKUP($D$2,B355:C357,2,FALSE)</f>
        <v>0</v>
      </c>
      <c r="H144" s="392"/>
      <c r="I144" s="392"/>
      <c r="J144" s="392"/>
      <c r="K144" s="893"/>
    </row>
    <row r="145" spans="2:15" s="685" customFormat="1" ht="27" customHeight="1" x14ac:dyDescent="0.3">
      <c r="B145" s="1081" t="s">
        <v>134</v>
      </c>
      <c r="C145" s="1081"/>
      <c r="D145" s="1081"/>
      <c r="E145" s="1081"/>
      <c r="F145" s="688"/>
      <c r="G145" s="909">
        <f>VLOOKUP($D$2,B385:C387,2,FALSE)</f>
        <v>0</v>
      </c>
      <c r="H145" s="392"/>
      <c r="I145" s="392"/>
      <c r="J145" s="392"/>
      <c r="K145" s="893"/>
    </row>
    <row r="146" spans="2:15" ht="13" x14ac:dyDescent="0.3">
      <c r="H146" s="392"/>
      <c r="I146" s="392"/>
      <c r="J146" s="392"/>
    </row>
    <row r="147" spans="2:15" s="685" customFormat="1" ht="18.75" customHeight="1" x14ac:dyDescent="0.3">
      <c r="B147" s="1169" t="s">
        <v>33</v>
      </c>
      <c r="C147" s="1170"/>
      <c r="D147" s="1170"/>
      <c r="E147" s="1171"/>
      <c r="F147" s="771"/>
      <c r="G147" s="690">
        <f>SUM(G138:G145)</f>
        <v>0</v>
      </c>
      <c r="H147" s="392"/>
      <c r="I147" s="392"/>
      <c r="J147" s="392"/>
      <c r="K147" s="893"/>
    </row>
    <row r="148" spans="2:15" ht="13" x14ac:dyDescent="0.3">
      <c r="H148" s="392"/>
      <c r="I148" s="392"/>
      <c r="J148" s="392"/>
      <c r="K148" s="20"/>
      <c r="M148" s="610"/>
    </row>
    <row r="149" spans="2:15" x14ac:dyDescent="0.25">
      <c r="K149" s="20"/>
      <c r="M149" s="610"/>
    </row>
    <row r="150" spans="2:15" ht="13" x14ac:dyDescent="0.3">
      <c r="B150" s="902" t="s">
        <v>131</v>
      </c>
      <c r="C150" s="903"/>
      <c r="D150" s="903"/>
      <c r="E150" s="903"/>
      <c r="F150" s="904"/>
      <c r="G150" s="904"/>
      <c r="H150" s="904"/>
      <c r="I150" s="904"/>
      <c r="J150" s="904"/>
      <c r="K150" s="904"/>
      <c r="L150" s="904"/>
      <c r="M150" s="905"/>
      <c r="N150" s="904"/>
    </row>
    <row r="151" spans="2:15" x14ac:dyDescent="0.25">
      <c r="K151" s="20"/>
      <c r="M151" s="610"/>
    </row>
    <row r="152" spans="2:15" ht="13" x14ac:dyDescent="0.3">
      <c r="B152" s="18" t="s">
        <v>362</v>
      </c>
      <c r="F152" s="895">
        <v>2018</v>
      </c>
      <c r="K152" s="20"/>
      <c r="M152" s="610"/>
    </row>
    <row r="153" spans="2:15" x14ac:dyDescent="0.25">
      <c r="K153" s="20"/>
      <c r="L153" s="610"/>
    </row>
    <row r="154" spans="2:15" ht="82.5" customHeight="1" x14ac:dyDescent="0.25">
      <c r="B154" s="1060" t="s">
        <v>363</v>
      </c>
      <c r="C154" s="1061"/>
      <c r="D154" s="1061"/>
      <c r="E154" s="1062"/>
      <c r="F154" s="599"/>
      <c r="G154" s="675" t="str">
        <f>"Nog af te bouwen regulatoir saldo einde "&amp;F152-1</f>
        <v>Nog af te bouwen regulatoir saldo einde 2017</v>
      </c>
      <c r="H154" s="675" t="str">
        <f>"Afbouw oudste openstaande regulatoir saldo vanaf boekjaar "&amp;F152-2&amp;" en vroeger, door aanwending van compensatie met regulatoir saldo ontstaan over boekjaar "&amp;F152-1</f>
        <v>Afbouw oudste openstaande regulatoir saldo vanaf boekjaar 2016 en vroeger, door aanwending van compensatie met regulatoir saldo ontstaan over boekjaar 2017</v>
      </c>
      <c r="I154" s="675" t="str">
        <f>"Nog af te bouwen regulatoir saldo na compensatie einde "&amp;F152-1</f>
        <v>Nog af te bouwen regulatoir saldo na compensatie einde 2017</v>
      </c>
      <c r="J154" s="675" t="str">
        <f>"Aanwending van 50% van het geaccumuleerd regulatoir saldo door te rekenen volgens de tariefmethodologie in het boekjaar "&amp;F152</f>
        <v>Aanwending van 50% van het geaccumuleerd regulatoir saldo door te rekenen volgens de tariefmethodologie in het boekjaar 2018</v>
      </c>
      <c r="K154" s="675" t="str">
        <f>"Nog af te bouwen regulatoir saldo einde "&amp;F152</f>
        <v>Nog af te bouwen regulatoir saldo einde 2018</v>
      </c>
      <c r="L154" s="610"/>
    </row>
    <row r="155" spans="2:15" ht="13" x14ac:dyDescent="0.25">
      <c r="B155" s="1057">
        <v>2017</v>
      </c>
      <c r="C155" s="1058"/>
      <c r="D155" s="1058"/>
      <c r="E155" s="1059"/>
      <c r="F155" s="896"/>
      <c r="G155" s="839">
        <f>G85</f>
        <v>0</v>
      </c>
      <c r="H155" s="897">
        <v>0</v>
      </c>
      <c r="I155" s="839">
        <f>+G155+H155</f>
        <v>0</v>
      </c>
      <c r="J155" s="839">
        <f>-I155*0.5</f>
        <v>0</v>
      </c>
      <c r="K155" s="908">
        <f>+J155+G155</f>
        <v>0</v>
      </c>
      <c r="L155" s="610"/>
    </row>
    <row r="156" spans="2:15" x14ac:dyDescent="0.25">
      <c r="K156" s="20"/>
      <c r="L156" s="610"/>
    </row>
    <row r="157" spans="2:15" ht="13" x14ac:dyDescent="0.3">
      <c r="B157" s="18" t="s">
        <v>362</v>
      </c>
      <c r="F157" s="895">
        <v>2019</v>
      </c>
      <c r="K157" s="20"/>
      <c r="M157" s="610"/>
    </row>
    <row r="158" spans="2:15" x14ac:dyDescent="0.25">
      <c r="K158" s="20"/>
      <c r="M158" s="610"/>
    </row>
    <row r="159" spans="2:15" ht="84" customHeight="1" x14ac:dyDescent="0.25">
      <c r="B159" s="1060" t="s">
        <v>363</v>
      </c>
      <c r="C159" s="1061"/>
      <c r="D159" s="1061"/>
      <c r="E159" s="1062"/>
      <c r="F159" s="599"/>
      <c r="G159" s="675" t="str">
        <f>"Nog af te bouwen regulatoir saldo einde "&amp;F157-1</f>
        <v>Nog af te bouwen regulatoir saldo einde 2018</v>
      </c>
      <c r="H159" s="675" t="str">
        <f>"Afbouw oudste openstaande regulatoir saldo vanaf boekjaar "&amp;F157-2&amp;" en vroeger, door aanwending van compensatie met regulatoir saldo ontstaan over boekjaar "&amp;F157-1</f>
        <v>Afbouw oudste openstaande regulatoir saldo vanaf boekjaar 2017 en vroeger, door aanwending van compensatie met regulatoir saldo ontstaan over boekjaar 2018</v>
      </c>
      <c r="I159" s="675" t="str">
        <f>"Nog af te bouwen regulatoir saldo na compensatie einde "&amp;F157-1</f>
        <v>Nog af te bouwen regulatoir saldo na compensatie einde 2018</v>
      </c>
      <c r="J159" s="675" t="str">
        <f>"Aanwending van 50% van het geaccumuleerd regulatoir saldo door te rekenen volgens de tariefmethodologie in het boekjaar "&amp;F157</f>
        <v>Aanwending van 50% van het geaccumuleerd regulatoir saldo door te rekenen volgens de tariefmethodologie in het boekjaar 2019</v>
      </c>
      <c r="K159" s="675" t="str">
        <f>"Aanwending van 50% van het geaccumuleerd regulatoir saldo door te rekenen volgens de tariefmethodologie in het boekjaar "&amp;F157</f>
        <v>Aanwending van 50% van het geaccumuleerd regulatoir saldo door te rekenen volgens de tariefmethodologie in het boekjaar 2019</v>
      </c>
      <c r="L159" s="675" t="str">
        <f>"Totale afbouw over "&amp;F157</f>
        <v>Totale afbouw over 2019</v>
      </c>
      <c r="N159" s="675" t="str">
        <f>"Nog af te bouwen regulatoir saldo einde "&amp;F157</f>
        <v>Nog af te bouwen regulatoir saldo einde 2019</v>
      </c>
      <c r="O159" s="610"/>
    </row>
    <row r="160" spans="2:15" ht="13" x14ac:dyDescent="0.25">
      <c r="B160" s="1057">
        <v>2017</v>
      </c>
      <c r="C160" s="1058"/>
      <c r="D160" s="1058"/>
      <c r="E160" s="1059"/>
      <c r="F160" s="896"/>
      <c r="G160" s="839">
        <f>K155</f>
        <v>0</v>
      </c>
      <c r="H160" s="897">
        <f>IF(SIGN(G161*K155)&lt;0,IF(G160&lt;&gt;0,-SIGN(G160)*MIN(ABS(G161),ABS(G160)),0),0)</f>
        <v>0</v>
      </c>
      <c r="I160" s="839">
        <f>+G160+H160</f>
        <v>0</v>
      </c>
      <c r="J160" s="698"/>
      <c r="K160" s="897">
        <f>-MIN(ABS(I160),ABS(J162))*SIGN(I160)</f>
        <v>0</v>
      </c>
      <c r="L160" s="898">
        <f>+K160+H160</f>
        <v>0</v>
      </c>
      <c r="N160" s="839">
        <f>+I160+K160</f>
        <v>0</v>
      </c>
      <c r="O160" s="610"/>
    </row>
    <row r="161" spans="2:15" ht="13" x14ac:dyDescent="0.25">
      <c r="B161" s="1057">
        <v>2018</v>
      </c>
      <c r="C161" s="1058"/>
      <c r="D161" s="1058"/>
      <c r="E161" s="1059"/>
      <c r="F161" s="896"/>
      <c r="G161" s="839">
        <f>H86</f>
        <v>0</v>
      </c>
      <c r="H161" s="898">
        <f>IF(SIGN(G161*K155)&lt;0,-H160,0)</f>
        <v>0</v>
      </c>
      <c r="I161" s="839">
        <f>+G161+H161</f>
        <v>0</v>
      </c>
      <c r="J161" s="698"/>
      <c r="K161" s="897">
        <f>-MIN(ABS(I161),ABS(J162-K160))*SIGN(I161)</f>
        <v>0</v>
      </c>
      <c r="L161" s="898">
        <f>+K161+H161</f>
        <v>0</v>
      </c>
      <c r="N161" s="839">
        <f>+I161+K161</f>
        <v>0</v>
      </c>
      <c r="O161" s="610"/>
    </row>
    <row r="162" spans="2:15" s="18" customFormat="1" ht="13" x14ac:dyDescent="0.3">
      <c r="G162" s="899">
        <f>SUM(G160:G161)</f>
        <v>0</v>
      </c>
      <c r="H162" s="899">
        <f>SUM(H160:H161)</f>
        <v>0</v>
      </c>
      <c r="I162" s="899">
        <f>SUM(I160:I161)</f>
        <v>0</v>
      </c>
      <c r="J162" s="899">
        <f>-I162*0.5</f>
        <v>0</v>
      </c>
      <c r="K162" s="900">
        <f>SUM(K160:K161)</f>
        <v>0</v>
      </c>
      <c r="L162" s="901"/>
      <c r="N162" s="899">
        <f>SUM(N160:N161)</f>
        <v>0</v>
      </c>
    </row>
    <row r="163" spans="2:15" x14ac:dyDescent="0.25">
      <c r="K163" s="20"/>
      <c r="M163" s="610"/>
    </row>
    <row r="164" spans="2:15" ht="13" x14ac:dyDescent="0.3">
      <c r="B164" s="18" t="s">
        <v>362</v>
      </c>
      <c r="F164" s="895">
        <v>2020</v>
      </c>
      <c r="K164" s="20"/>
    </row>
    <row r="165" spans="2:15" x14ac:dyDescent="0.25">
      <c r="K165" s="20"/>
    </row>
    <row r="166" spans="2:15" ht="94.5" customHeight="1" x14ac:dyDescent="0.25">
      <c r="B166" s="1060" t="s">
        <v>363</v>
      </c>
      <c r="C166" s="1061"/>
      <c r="D166" s="1061"/>
      <c r="E166" s="1062"/>
      <c r="F166" s="599"/>
      <c r="G166" s="675" t="str">
        <f>"Nog af te bouwen regulatoir saldo einde "&amp;F164-1</f>
        <v>Nog af te bouwen regulatoir saldo einde 2019</v>
      </c>
      <c r="H166" s="675" t="str">
        <f>"Afbouw oudste openstaande regulatoir saldo vanaf boekjaar "&amp;F164-32&amp;" en vroeger, door aanwending van compensatie met regulatoir saldo ontstaan over boekjaar "&amp;F164-1</f>
        <v>Afbouw oudste openstaande regulatoir saldo vanaf boekjaar 1988 en vroeger, door aanwending van compensatie met regulatoir saldo ontstaan over boekjaar 2019</v>
      </c>
      <c r="I166" s="675" t="str">
        <f>"Nog af te bouwen regulatoir saldo na compensatie einde "&amp;F164-1</f>
        <v>Nog af te bouwen regulatoir saldo na compensatie einde 2019</v>
      </c>
      <c r="J166" s="675" t="str">
        <f>"Aanwending van 50% van het geaccumuleerd regulatoir saldo door te rekenen volgens de tariefmethodologie in het boekjaar "&amp;F164</f>
        <v>Aanwending van 50% van het geaccumuleerd regulatoir saldo door te rekenen volgens de tariefmethodologie in het boekjaar 2020</v>
      </c>
      <c r="K166" s="675" t="str">
        <f>"Aanwending van 50% van het geaccumuleerd regulatoir saldo door te rekenen volgens de tariefmethodologie in het boekjaar "&amp;F164</f>
        <v>Aanwending van 50% van het geaccumuleerd regulatoir saldo door te rekenen volgens de tariefmethodologie in het boekjaar 2020</v>
      </c>
      <c r="L166" s="675" t="str">
        <f>"Totale afbouw over "&amp;F164</f>
        <v>Totale afbouw over 2020</v>
      </c>
      <c r="N166" s="675" t="str">
        <f>"Nog af te bouwen regulatoir saldo einde "&amp;F164</f>
        <v>Nog af te bouwen regulatoir saldo einde 2020</v>
      </c>
      <c r="O166" s="610"/>
    </row>
    <row r="167" spans="2:15" ht="13" x14ac:dyDescent="0.25">
      <c r="B167" s="1057">
        <v>2017</v>
      </c>
      <c r="C167" s="1058"/>
      <c r="D167" s="1058"/>
      <c r="E167" s="1059"/>
      <c r="F167" s="896"/>
      <c r="G167" s="839">
        <f>+N160</f>
        <v>0</v>
      </c>
      <c r="H167" s="898">
        <f>IF(SIGN(G169*N162)&lt;0,IF(G167&lt;&gt;0,-SIGN(G167)*MIN(ABS(G169),ABS(G167)),0),0)</f>
        <v>0</v>
      </c>
      <c r="I167" s="839">
        <f>+G167+H167</f>
        <v>0</v>
      </c>
      <c r="J167" s="698"/>
      <c r="K167" s="897">
        <f>-MIN(ABS(I167),ABS(J170))*SIGN(I167)</f>
        <v>0</v>
      </c>
      <c r="L167" s="898">
        <f>+K167+H167</f>
        <v>0</v>
      </c>
      <c r="N167" s="839">
        <f>+I167+K167</f>
        <v>0</v>
      </c>
      <c r="O167" s="610"/>
    </row>
    <row r="168" spans="2:15" ht="13" x14ac:dyDescent="0.25">
      <c r="B168" s="1057">
        <v>2018</v>
      </c>
      <c r="C168" s="1058"/>
      <c r="D168" s="1058">
        <v>2016</v>
      </c>
      <c r="E168" s="1059"/>
      <c r="F168" s="896"/>
      <c r="G168" s="839">
        <f>+N161</f>
        <v>0</v>
      </c>
      <c r="H168" s="898">
        <f>IF(SIGN(G169*N162)&lt;0,IF(G168&lt;&gt;0,-SIGN(G168)*MIN(ABS(G169-H167),ABS(G168)),0),0)</f>
        <v>0</v>
      </c>
      <c r="I168" s="839">
        <f>+G168+H168</f>
        <v>0</v>
      </c>
      <c r="J168" s="698"/>
      <c r="K168" s="897">
        <f>-MIN(ABS(I168),ABS(J170-K167))*SIGN(I168)</f>
        <v>0</v>
      </c>
      <c r="L168" s="898">
        <f>+K168+H168</f>
        <v>0</v>
      </c>
      <c r="N168" s="839">
        <f>+I168+K168</f>
        <v>0</v>
      </c>
      <c r="O168" s="610"/>
    </row>
    <row r="169" spans="2:15" ht="13" x14ac:dyDescent="0.25">
      <c r="B169" s="1057">
        <v>2019</v>
      </c>
      <c r="C169" s="1058"/>
      <c r="D169" s="1058"/>
      <c r="E169" s="1059"/>
      <c r="F169" s="896"/>
      <c r="G169" s="839">
        <f>I87</f>
        <v>0</v>
      </c>
      <c r="H169" s="898">
        <f>IF(SIGN(G169*N162)&lt;0,-SUM(H167:H168),0)</f>
        <v>0</v>
      </c>
      <c r="I169" s="839">
        <f>+G169+H169</f>
        <v>0</v>
      </c>
      <c r="J169" s="698"/>
      <c r="K169" s="897">
        <f>-MIN(ABS(I169),ABS(J170-K167-K168))*SIGN(I169)</f>
        <v>0</v>
      </c>
      <c r="L169" s="898">
        <f>+K169+H169</f>
        <v>0</v>
      </c>
      <c r="N169" s="839">
        <f>+I169+K169</f>
        <v>0</v>
      </c>
      <c r="O169" s="610"/>
    </row>
    <row r="170" spans="2:15" s="18" customFormat="1" ht="13" x14ac:dyDescent="0.3">
      <c r="G170" s="899">
        <f>SUM(G167:G169)</f>
        <v>0</v>
      </c>
      <c r="H170" s="899">
        <f>SUM(H167:H169)</f>
        <v>0</v>
      </c>
      <c r="I170" s="899">
        <f>SUM(I167:I169)</f>
        <v>0</v>
      </c>
      <c r="J170" s="899">
        <f>-I170*0.5</f>
        <v>0</v>
      </c>
      <c r="K170" s="900">
        <f>SUM(K167:K169)</f>
        <v>0</v>
      </c>
      <c r="L170" s="901"/>
      <c r="N170" s="899">
        <f>SUM(N167:N169)</f>
        <v>0</v>
      </c>
    </row>
    <row r="171" spans="2:15" x14ac:dyDescent="0.25">
      <c r="K171" s="20"/>
      <c r="M171" s="394"/>
    </row>
    <row r="172" spans="2:15" x14ac:dyDescent="0.25">
      <c r="K172" s="20"/>
      <c r="M172" s="394"/>
    </row>
    <row r="173" spans="2:15" ht="13" x14ac:dyDescent="0.3">
      <c r="B173" s="18" t="s">
        <v>364</v>
      </c>
      <c r="C173" s="381"/>
      <c r="D173" s="381"/>
      <c r="E173" s="381"/>
      <c r="K173" s="20"/>
      <c r="M173" s="394"/>
    </row>
    <row r="174" spans="2:15" ht="13" x14ac:dyDescent="0.3">
      <c r="B174" s="18"/>
      <c r="C174" s="381"/>
      <c r="D174" s="381"/>
      <c r="E174" s="381"/>
      <c r="K174" s="20"/>
      <c r="M174" s="394"/>
    </row>
    <row r="175" spans="2:15" ht="13" x14ac:dyDescent="0.3">
      <c r="B175" s="864">
        <f>F152</f>
        <v>2018</v>
      </c>
      <c r="C175" s="906">
        <f>J155</f>
        <v>0</v>
      </c>
      <c r="D175" s="381"/>
      <c r="E175" s="381"/>
      <c r="K175" s="20"/>
      <c r="M175" s="394"/>
    </row>
    <row r="176" spans="2:15" ht="13" x14ac:dyDescent="0.3">
      <c r="B176" s="864">
        <f>F157</f>
        <v>2019</v>
      </c>
      <c r="C176" s="906">
        <f>K162</f>
        <v>0</v>
      </c>
      <c r="D176" s="381"/>
      <c r="E176" s="381"/>
      <c r="K176" s="20"/>
      <c r="M176" s="394"/>
    </row>
    <row r="177" spans="2:15" ht="13" x14ac:dyDescent="0.3">
      <c r="B177" s="864">
        <f>F164</f>
        <v>2020</v>
      </c>
      <c r="C177" s="906">
        <f>K170</f>
        <v>0</v>
      </c>
      <c r="D177" s="381"/>
      <c r="E177" s="381"/>
      <c r="K177" s="20"/>
      <c r="M177" s="394"/>
    </row>
    <row r="178" spans="2:15" ht="13" x14ac:dyDescent="0.3">
      <c r="H178" s="392"/>
      <c r="I178" s="392"/>
      <c r="J178" s="392"/>
      <c r="K178" s="20"/>
      <c r="M178" s="610"/>
    </row>
    <row r="179" spans="2:15" x14ac:dyDescent="0.25">
      <c r="K179" s="20"/>
      <c r="M179" s="610"/>
    </row>
    <row r="180" spans="2:15" ht="13" x14ac:dyDescent="0.3">
      <c r="B180" s="902" t="s">
        <v>132</v>
      </c>
      <c r="C180" s="903"/>
      <c r="D180" s="903"/>
      <c r="E180" s="903"/>
      <c r="F180" s="904"/>
      <c r="G180" s="904"/>
      <c r="H180" s="904"/>
      <c r="I180" s="904"/>
      <c r="J180" s="904"/>
      <c r="K180" s="904"/>
      <c r="L180" s="904"/>
      <c r="M180" s="905"/>
      <c r="N180" s="904"/>
    </row>
    <row r="181" spans="2:15" x14ac:dyDescent="0.25">
      <c r="K181" s="20"/>
      <c r="M181" s="610"/>
    </row>
    <row r="182" spans="2:15" ht="13" x14ac:dyDescent="0.3">
      <c r="B182" s="18" t="s">
        <v>362</v>
      </c>
      <c r="F182" s="895">
        <v>2018</v>
      </c>
      <c r="K182" s="20"/>
      <c r="M182" s="610"/>
    </row>
    <row r="183" spans="2:15" x14ac:dyDescent="0.25">
      <c r="K183" s="20"/>
      <c r="L183" s="610"/>
    </row>
    <row r="184" spans="2:15" ht="82.5" customHeight="1" x14ac:dyDescent="0.25">
      <c r="B184" s="1060" t="s">
        <v>363</v>
      </c>
      <c r="C184" s="1061"/>
      <c r="D184" s="1061"/>
      <c r="E184" s="1062"/>
      <c r="F184" s="599"/>
      <c r="G184" s="675" t="str">
        <f>"Nog af te bouwen regulatoir saldo einde "&amp;F182-1</f>
        <v>Nog af te bouwen regulatoir saldo einde 2017</v>
      </c>
      <c r="H184" s="675" t="str">
        <f>"Afbouw oudste openstaande regulatoir saldo vanaf boekjaar "&amp;F182-2&amp;" en vroeger, door aanwending van compensatie met regulatoir saldo ontstaan over boekjaar "&amp;F182-1</f>
        <v>Afbouw oudste openstaande regulatoir saldo vanaf boekjaar 2016 en vroeger, door aanwending van compensatie met regulatoir saldo ontstaan over boekjaar 2017</v>
      </c>
      <c r="I184" s="675" t="str">
        <f>"Nog af te bouwen regulatoir saldo na compensatie einde "&amp;F182-1</f>
        <v>Nog af te bouwen regulatoir saldo na compensatie einde 2017</v>
      </c>
      <c r="J184" s="675" t="str">
        <f>"Aanwending van 50% van het geaccumuleerd regulatoir saldo door te rekenen volgens de tariefmethodologie in het boekjaar "&amp;F182</f>
        <v>Aanwending van 50% van het geaccumuleerd regulatoir saldo door te rekenen volgens de tariefmethodologie in het boekjaar 2018</v>
      </c>
      <c r="K184" s="675" t="str">
        <f>"Nog af te bouwen regulatoir saldo einde "&amp;F182</f>
        <v>Nog af te bouwen regulatoir saldo einde 2018</v>
      </c>
      <c r="L184" s="610"/>
    </row>
    <row r="185" spans="2:15" ht="13" x14ac:dyDescent="0.25">
      <c r="B185" s="1057">
        <v>2017</v>
      </c>
      <c r="C185" s="1058"/>
      <c r="D185" s="1058"/>
      <c r="E185" s="1059"/>
      <c r="F185" s="896"/>
      <c r="G185" s="839">
        <f>G90</f>
        <v>0</v>
      </c>
      <c r="H185" s="897">
        <v>0</v>
      </c>
      <c r="I185" s="839">
        <f>+G185+H185</f>
        <v>0</v>
      </c>
      <c r="J185" s="839">
        <f>-I185*0.5</f>
        <v>0</v>
      </c>
      <c r="K185" s="908">
        <f>+J185+G185</f>
        <v>0</v>
      </c>
      <c r="L185" s="610"/>
    </row>
    <row r="186" spans="2:15" x14ac:dyDescent="0.25">
      <c r="K186" s="20"/>
      <c r="L186" s="610"/>
    </row>
    <row r="187" spans="2:15" ht="13" x14ac:dyDescent="0.3">
      <c r="B187" s="18" t="s">
        <v>362</v>
      </c>
      <c r="F187" s="895">
        <v>2019</v>
      </c>
      <c r="K187" s="20"/>
      <c r="M187" s="610"/>
    </row>
    <row r="188" spans="2:15" x14ac:dyDescent="0.25">
      <c r="K188" s="20"/>
      <c r="M188" s="610"/>
    </row>
    <row r="189" spans="2:15" ht="84" customHeight="1" x14ac:dyDescent="0.25">
      <c r="B189" s="1060" t="s">
        <v>363</v>
      </c>
      <c r="C189" s="1061"/>
      <c r="D189" s="1061"/>
      <c r="E189" s="1062"/>
      <c r="F189" s="599"/>
      <c r="G189" s="675" t="str">
        <f>"Nog af te bouwen regulatoir saldo einde "&amp;F187-1</f>
        <v>Nog af te bouwen regulatoir saldo einde 2018</v>
      </c>
      <c r="H189" s="675" t="str">
        <f>"Afbouw oudste openstaande regulatoir saldo vanaf boekjaar "&amp;F187-2&amp;" en vroeger, door aanwending van compensatie met regulatoir saldo ontstaan over boekjaar "&amp;F187-1</f>
        <v>Afbouw oudste openstaande regulatoir saldo vanaf boekjaar 2017 en vroeger, door aanwending van compensatie met regulatoir saldo ontstaan over boekjaar 2018</v>
      </c>
      <c r="I189" s="675" t="str">
        <f>"Nog af te bouwen regulatoir saldo na compensatie einde "&amp;F187-1</f>
        <v>Nog af te bouwen regulatoir saldo na compensatie einde 2018</v>
      </c>
      <c r="J189" s="675" t="str">
        <f>"Aanwending van 50% van het geaccumuleerd regulatoir saldo door te rekenen volgens de tariefmethodologie in het boekjaar "&amp;F187</f>
        <v>Aanwending van 50% van het geaccumuleerd regulatoir saldo door te rekenen volgens de tariefmethodologie in het boekjaar 2019</v>
      </c>
      <c r="K189" s="675" t="str">
        <f>"Aanwending van 50% van het geaccumuleerd regulatoir saldo door te rekenen volgens de tariefmethodologie in het boekjaar "&amp;F187</f>
        <v>Aanwending van 50% van het geaccumuleerd regulatoir saldo door te rekenen volgens de tariefmethodologie in het boekjaar 2019</v>
      </c>
      <c r="L189" s="675" t="str">
        <f>"Totale afbouw over "&amp;F187</f>
        <v>Totale afbouw over 2019</v>
      </c>
      <c r="N189" s="675" t="str">
        <f>"Nog af te bouwen regulatoir saldo einde "&amp;F187</f>
        <v>Nog af te bouwen regulatoir saldo einde 2019</v>
      </c>
      <c r="O189" s="610"/>
    </row>
    <row r="190" spans="2:15" ht="13" x14ac:dyDescent="0.25">
      <c r="B190" s="1057">
        <v>2017</v>
      </c>
      <c r="C190" s="1058"/>
      <c r="D190" s="1058"/>
      <c r="E190" s="1059"/>
      <c r="F190" s="896"/>
      <c r="G190" s="839">
        <f>K185</f>
        <v>0</v>
      </c>
      <c r="H190" s="897">
        <f>IF(SIGN(G191*K185)&lt;0,IF(G190&lt;&gt;0,-SIGN(G190)*MIN(ABS(G191),ABS(G190)),0),0)</f>
        <v>0</v>
      </c>
      <c r="I190" s="839">
        <f>+G190+H190</f>
        <v>0</v>
      </c>
      <c r="J190" s="698"/>
      <c r="K190" s="897">
        <f>-MIN(ABS(I190),ABS(J192))*SIGN(I190)</f>
        <v>0</v>
      </c>
      <c r="L190" s="898">
        <f>+K190+H190</f>
        <v>0</v>
      </c>
      <c r="N190" s="839">
        <f>+I190+K190</f>
        <v>0</v>
      </c>
      <c r="O190" s="610"/>
    </row>
    <row r="191" spans="2:15" ht="13" x14ac:dyDescent="0.25">
      <c r="B191" s="1057">
        <v>2018</v>
      </c>
      <c r="C191" s="1058"/>
      <c r="D191" s="1058"/>
      <c r="E191" s="1059"/>
      <c r="F191" s="896"/>
      <c r="G191" s="839">
        <f>H91</f>
        <v>0</v>
      </c>
      <c r="H191" s="898">
        <f>IF(SIGN(G191*K185)&lt;0,-H190,0)</f>
        <v>0</v>
      </c>
      <c r="I191" s="839">
        <f>+G191+H191</f>
        <v>0</v>
      </c>
      <c r="J191" s="698"/>
      <c r="K191" s="897">
        <f>-MIN(ABS(I191),ABS(J192-K190))*SIGN(I191)</f>
        <v>0</v>
      </c>
      <c r="L191" s="898">
        <f>+K191+H191</f>
        <v>0</v>
      </c>
      <c r="N191" s="839">
        <f>+I191+K191</f>
        <v>0</v>
      </c>
      <c r="O191" s="610"/>
    </row>
    <row r="192" spans="2:15" s="18" customFormat="1" ht="13" x14ac:dyDescent="0.3">
      <c r="G192" s="899">
        <f>SUM(G190:G191)</f>
        <v>0</v>
      </c>
      <c r="H192" s="899">
        <f>SUM(H190:H191)</f>
        <v>0</v>
      </c>
      <c r="I192" s="899">
        <f>SUM(I190:I191)</f>
        <v>0</v>
      </c>
      <c r="J192" s="899">
        <f>-I192*0.5</f>
        <v>0</v>
      </c>
      <c r="K192" s="900">
        <f>SUM(K190:K191)</f>
        <v>0</v>
      </c>
      <c r="L192" s="901"/>
      <c r="N192" s="899">
        <f>SUM(N190:N191)</f>
        <v>0</v>
      </c>
    </row>
    <row r="193" spans="2:15" x14ac:dyDescent="0.25">
      <c r="K193" s="20"/>
      <c r="M193" s="610"/>
    </row>
    <row r="194" spans="2:15" ht="13" x14ac:dyDescent="0.3">
      <c r="B194" s="18" t="s">
        <v>362</v>
      </c>
      <c r="F194" s="895">
        <v>2020</v>
      </c>
      <c r="K194" s="20"/>
    </row>
    <row r="195" spans="2:15" x14ac:dyDescent="0.25">
      <c r="K195" s="20"/>
    </row>
    <row r="196" spans="2:15" ht="94.5" customHeight="1" x14ac:dyDescent="0.25">
      <c r="B196" s="1060" t="s">
        <v>363</v>
      </c>
      <c r="C196" s="1061"/>
      <c r="D196" s="1061"/>
      <c r="E196" s="1062"/>
      <c r="F196" s="599"/>
      <c r="G196" s="675" t="str">
        <f>"Nog af te bouwen regulatoir saldo einde "&amp;F194-1</f>
        <v>Nog af te bouwen regulatoir saldo einde 2019</v>
      </c>
      <c r="H196" s="675" t="str">
        <f>"Afbouw oudste openstaande regulatoir saldo vanaf boekjaar "&amp;F194-32&amp;" en vroeger, door aanwending van compensatie met regulatoir saldo ontstaan over boekjaar "&amp;F194-1</f>
        <v>Afbouw oudste openstaande regulatoir saldo vanaf boekjaar 1988 en vroeger, door aanwending van compensatie met regulatoir saldo ontstaan over boekjaar 2019</v>
      </c>
      <c r="I196" s="675" t="str">
        <f>"Nog af te bouwen regulatoir saldo na compensatie einde "&amp;F194-1</f>
        <v>Nog af te bouwen regulatoir saldo na compensatie einde 2019</v>
      </c>
      <c r="J196" s="675" t="str">
        <f>"Aanwending van 50% van het geaccumuleerd regulatoir saldo door te rekenen volgens de tariefmethodologie in het boekjaar "&amp;F194</f>
        <v>Aanwending van 50% van het geaccumuleerd regulatoir saldo door te rekenen volgens de tariefmethodologie in het boekjaar 2020</v>
      </c>
      <c r="K196" s="675" t="str">
        <f>"Aanwending van 50% van het geaccumuleerd regulatoir saldo door te rekenen volgens de tariefmethodologie in het boekjaar "&amp;F194</f>
        <v>Aanwending van 50% van het geaccumuleerd regulatoir saldo door te rekenen volgens de tariefmethodologie in het boekjaar 2020</v>
      </c>
      <c r="L196" s="675" t="str">
        <f>"Totale afbouw over "&amp;F194</f>
        <v>Totale afbouw over 2020</v>
      </c>
      <c r="N196" s="675" t="str">
        <f>"Nog af te bouwen regulatoir saldo einde "&amp;F194</f>
        <v>Nog af te bouwen regulatoir saldo einde 2020</v>
      </c>
      <c r="O196" s="610"/>
    </row>
    <row r="197" spans="2:15" ht="13" x14ac:dyDescent="0.25">
      <c r="B197" s="1057">
        <v>2017</v>
      </c>
      <c r="C197" s="1058"/>
      <c r="D197" s="1058"/>
      <c r="E197" s="1059"/>
      <c r="F197" s="896"/>
      <c r="G197" s="839">
        <f>+N190</f>
        <v>0</v>
      </c>
      <c r="H197" s="898">
        <f>IF(SIGN(G199*N192)&lt;0,IF(G197&lt;&gt;0,-SIGN(G197)*MIN(ABS(G199),ABS(G197)),0),0)</f>
        <v>0</v>
      </c>
      <c r="I197" s="839">
        <f>+G197+H197</f>
        <v>0</v>
      </c>
      <c r="J197" s="698"/>
      <c r="K197" s="897">
        <f>-MIN(ABS(I197),ABS(J200))*SIGN(I197)</f>
        <v>0</v>
      </c>
      <c r="L197" s="898">
        <f>+K197+H197</f>
        <v>0</v>
      </c>
      <c r="N197" s="839">
        <f>+I197+K197</f>
        <v>0</v>
      </c>
      <c r="O197" s="610"/>
    </row>
    <row r="198" spans="2:15" ht="13" x14ac:dyDescent="0.25">
      <c r="B198" s="1057">
        <v>2018</v>
      </c>
      <c r="C198" s="1058"/>
      <c r="D198" s="1058">
        <v>2016</v>
      </c>
      <c r="E198" s="1059"/>
      <c r="F198" s="896"/>
      <c r="G198" s="839">
        <f>+N191</f>
        <v>0</v>
      </c>
      <c r="H198" s="898">
        <f>IF(SIGN(G199*N192)&lt;0,IF(G198&lt;&gt;0,-SIGN(G198)*MIN(ABS(G199-H197),ABS(G198)),0),0)</f>
        <v>0</v>
      </c>
      <c r="I198" s="839">
        <f>+G198+H198</f>
        <v>0</v>
      </c>
      <c r="J198" s="698"/>
      <c r="K198" s="897">
        <f>-MIN(ABS(I198),ABS(J200-K197))*SIGN(I198)</f>
        <v>0</v>
      </c>
      <c r="L198" s="898">
        <f>+K198+H198</f>
        <v>0</v>
      </c>
      <c r="N198" s="839">
        <f>+I198+K198</f>
        <v>0</v>
      </c>
      <c r="O198" s="610"/>
    </row>
    <row r="199" spans="2:15" ht="13" x14ac:dyDescent="0.25">
      <c r="B199" s="1057">
        <v>2019</v>
      </c>
      <c r="C199" s="1058"/>
      <c r="D199" s="1058"/>
      <c r="E199" s="1059"/>
      <c r="F199" s="896"/>
      <c r="G199" s="839">
        <f>I92</f>
        <v>0</v>
      </c>
      <c r="H199" s="898">
        <f>IF(SIGN(G199*N192)&lt;0,-SUM(H197:H198),0)</f>
        <v>0</v>
      </c>
      <c r="I199" s="839">
        <f>+G199+H199</f>
        <v>0</v>
      </c>
      <c r="J199" s="698"/>
      <c r="K199" s="897">
        <f>-MIN(ABS(I199),ABS(J200-K197-K198))*SIGN(I199)</f>
        <v>0</v>
      </c>
      <c r="L199" s="898">
        <f>+K199+H199</f>
        <v>0</v>
      </c>
      <c r="N199" s="839">
        <f>+I199+K199</f>
        <v>0</v>
      </c>
      <c r="O199" s="610"/>
    </row>
    <row r="200" spans="2:15" s="18" customFormat="1" ht="13" x14ac:dyDescent="0.3">
      <c r="G200" s="899">
        <f>SUM(G197:G199)</f>
        <v>0</v>
      </c>
      <c r="H200" s="899">
        <f>SUM(H197:H199)</f>
        <v>0</v>
      </c>
      <c r="I200" s="899">
        <f>SUM(I197:I199)</f>
        <v>0</v>
      </c>
      <c r="J200" s="899">
        <f>-I200*0.5</f>
        <v>0</v>
      </c>
      <c r="K200" s="900">
        <f>SUM(K197:K199)</f>
        <v>0</v>
      </c>
      <c r="L200" s="901"/>
      <c r="N200" s="899">
        <f>SUM(N197:N199)</f>
        <v>0</v>
      </c>
    </row>
    <row r="201" spans="2:15" x14ac:dyDescent="0.25">
      <c r="K201" s="20"/>
      <c r="M201" s="394"/>
    </row>
    <row r="202" spans="2:15" x14ac:dyDescent="0.25">
      <c r="K202" s="20"/>
      <c r="M202" s="394"/>
    </row>
    <row r="203" spans="2:15" ht="13" x14ac:dyDescent="0.3">
      <c r="B203" s="18" t="s">
        <v>364</v>
      </c>
      <c r="C203" s="381"/>
      <c r="D203" s="381"/>
      <c r="E203" s="381"/>
      <c r="K203" s="20"/>
      <c r="M203" s="394"/>
    </row>
    <row r="204" spans="2:15" ht="13" x14ac:dyDescent="0.3">
      <c r="B204" s="18"/>
      <c r="C204" s="381"/>
      <c r="D204" s="381"/>
      <c r="E204" s="381"/>
      <c r="K204" s="20"/>
      <c r="M204" s="394"/>
    </row>
    <row r="205" spans="2:15" ht="13" x14ac:dyDescent="0.3">
      <c r="B205" s="864">
        <f>F182</f>
        <v>2018</v>
      </c>
      <c r="C205" s="906">
        <f>J185</f>
        <v>0</v>
      </c>
      <c r="D205" s="381"/>
      <c r="E205" s="381"/>
      <c r="K205" s="20"/>
      <c r="M205" s="394"/>
    </row>
    <row r="206" spans="2:15" ht="13" x14ac:dyDescent="0.3">
      <c r="B206" s="864">
        <f>F187</f>
        <v>2019</v>
      </c>
      <c r="C206" s="906">
        <f>K192</f>
        <v>0</v>
      </c>
      <c r="D206" s="381"/>
      <c r="E206" s="381"/>
      <c r="K206" s="20"/>
      <c r="M206" s="394"/>
    </row>
    <row r="207" spans="2:15" ht="13" x14ac:dyDescent="0.3">
      <c r="B207" s="864">
        <f>F194</f>
        <v>2020</v>
      </c>
      <c r="C207" s="906">
        <f>K200</f>
        <v>0</v>
      </c>
      <c r="D207" s="381"/>
      <c r="E207" s="381"/>
      <c r="K207" s="20"/>
      <c r="M207" s="394"/>
    </row>
    <row r="208" spans="2:15" ht="13" x14ac:dyDescent="0.3">
      <c r="H208" s="392"/>
      <c r="I208" s="392"/>
      <c r="J208" s="392"/>
      <c r="K208" s="20"/>
      <c r="M208" s="610"/>
    </row>
    <row r="209" spans="2:15" x14ac:dyDescent="0.25">
      <c r="K209" s="20"/>
      <c r="M209" s="610"/>
    </row>
    <row r="210" spans="2:15" ht="13" x14ac:dyDescent="0.3">
      <c r="B210" s="902" t="s">
        <v>138</v>
      </c>
      <c r="C210" s="903"/>
      <c r="D210" s="903"/>
      <c r="E210" s="903"/>
      <c r="F210" s="904"/>
      <c r="G210" s="904"/>
      <c r="H210" s="904"/>
      <c r="I210" s="904"/>
      <c r="J210" s="904"/>
      <c r="K210" s="904"/>
      <c r="L210" s="904"/>
      <c r="M210" s="905"/>
      <c r="N210" s="904"/>
    </row>
    <row r="211" spans="2:15" x14ac:dyDescent="0.25">
      <c r="K211" s="20"/>
      <c r="M211" s="610"/>
    </row>
    <row r="212" spans="2:15" ht="13" x14ac:dyDescent="0.3">
      <c r="B212" s="18" t="s">
        <v>362</v>
      </c>
      <c r="F212" s="895">
        <v>2018</v>
      </c>
      <c r="K212" s="20"/>
      <c r="M212" s="610"/>
    </row>
    <row r="213" spans="2:15" x14ac:dyDescent="0.25">
      <c r="K213" s="20"/>
      <c r="L213" s="610"/>
    </row>
    <row r="214" spans="2:15" ht="82.5" customHeight="1" x14ac:dyDescent="0.25">
      <c r="B214" s="1060" t="s">
        <v>363</v>
      </c>
      <c r="C214" s="1061"/>
      <c r="D214" s="1061"/>
      <c r="E214" s="1062"/>
      <c r="F214" s="599"/>
      <c r="G214" s="675" t="str">
        <f>"Nog af te bouwen regulatoir saldo einde "&amp;F212-1</f>
        <v>Nog af te bouwen regulatoir saldo einde 2017</v>
      </c>
      <c r="H214" s="675" t="str">
        <f>"Afbouw oudste openstaande regulatoir saldo vanaf boekjaar "&amp;F212-2&amp;" en vroeger, door aanwending van compensatie met regulatoir saldo ontstaan over boekjaar "&amp;F212-1</f>
        <v>Afbouw oudste openstaande regulatoir saldo vanaf boekjaar 2016 en vroeger, door aanwending van compensatie met regulatoir saldo ontstaan over boekjaar 2017</v>
      </c>
      <c r="I214" s="675" t="str">
        <f>"Nog af te bouwen regulatoir saldo na compensatie einde "&amp;F212-1</f>
        <v>Nog af te bouwen regulatoir saldo na compensatie einde 2017</v>
      </c>
      <c r="J214" s="675" t="str">
        <f>"Aanwending van 50% van het geaccumuleerd regulatoir saldo door te rekenen volgens de tariefmethodologie in het boekjaar "&amp;F212</f>
        <v>Aanwending van 50% van het geaccumuleerd regulatoir saldo door te rekenen volgens de tariefmethodologie in het boekjaar 2018</v>
      </c>
      <c r="K214" s="675" t="str">
        <f>"Nog af te bouwen regulatoir saldo einde "&amp;F212</f>
        <v>Nog af te bouwen regulatoir saldo einde 2018</v>
      </c>
      <c r="L214" s="610"/>
    </row>
    <row r="215" spans="2:15" ht="13" x14ac:dyDescent="0.25">
      <c r="B215" s="1057">
        <v>2017</v>
      </c>
      <c r="C215" s="1058"/>
      <c r="D215" s="1058"/>
      <c r="E215" s="1059"/>
      <c r="F215" s="896"/>
      <c r="G215" s="839">
        <f>G95</f>
        <v>0</v>
      </c>
      <c r="H215" s="897">
        <v>0</v>
      </c>
      <c r="I215" s="839">
        <f>+G215+H215</f>
        <v>0</v>
      </c>
      <c r="J215" s="839">
        <f>-I215*0.5</f>
        <v>0</v>
      </c>
      <c r="K215" s="908">
        <f>+J215+G215</f>
        <v>0</v>
      </c>
      <c r="L215" s="610"/>
    </row>
    <row r="216" spans="2:15" x14ac:dyDescent="0.25">
      <c r="K216" s="20"/>
      <c r="L216" s="610"/>
    </row>
    <row r="217" spans="2:15" ht="13" x14ac:dyDescent="0.3">
      <c r="B217" s="18" t="s">
        <v>362</v>
      </c>
      <c r="F217" s="895">
        <v>2019</v>
      </c>
      <c r="K217" s="20"/>
      <c r="M217" s="610"/>
    </row>
    <row r="218" spans="2:15" x14ac:dyDescent="0.25">
      <c r="K218" s="20"/>
      <c r="M218" s="610"/>
    </row>
    <row r="219" spans="2:15" ht="84" customHeight="1" x14ac:dyDescent="0.25">
      <c r="B219" s="1060" t="s">
        <v>363</v>
      </c>
      <c r="C219" s="1061"/>
      <c r="D219" s="1061"/>
      <c r="E219" s="1062"/>
      <c r="F219" s="599"/>
      <c r="G219" s="675" t="str">
        <f>"Nog af te bouwen regulatoir saldo einde "&amp;F217-1</f>
        <v>Nog af te bouwen regulatoir saldo einde 2018</v>
      </c>
      <c r="H219" s="675" t="str">
        <f>"Afbouw oudste openstaande regulatoir saldo vanaf boekjaar "&amp;F217-2&amp;" en vroeger, door aanwending van compensatie met regulatoir saldo ontstaan over boekjaar "&amp;F217-1</f>
        <v>Afbouw oudste openstaande regulatoir saldo vanaf boekjaar 2017 en vroeger, door aanwending van compensatie met regulatoir saldo ontstaan over boekjaar 2018</v>
      </c>
      <c r="I219" s="675" t="str">
        <f>"Nog af te bouwen regulatoir saldo na compensatie einde "&amp;F217-1</f>
        <v>Nog af te bouwen regulatoir saldo na compensatie einde 2018</v>
      </c>
      <c r="J219" s="675" t="str">
        <f>"Aanwending van 50% van het geaccumuleerd regulatoir saldo door te rekenen volgens de tariefmethodologie in het boekjaar "&amp;F217</f>
        <v>Aanwending van 50% van het geaccumuleerd regulatoir saldo door te rekenen volgens de tariefmethodologie in het boekjaar 2019</v>
      </c>
      <c r="K219" s="675" t="str">
        <f>"Aanwending van 50% van het geaccumuleerd regulatoir saldo door te rekenen volgens de tariefmethodologie in het boekjaar "&amp;F217</f>
        <v>Aanwending van 50% van het geaccumuleerd regulatoir saldo door te rekenen volgens de tariefmethodologie in het boekjaar 2019</v>
      </c>
      <c r="L219" s="675" t="str">
        <f>"Totale afbouw over "&amp;F217</f>
        <v>Totale afbouw over 2019</v>
      </c>
      <c r="N219" s="675" t="str">
        <f>"Nog af te bouwen regulatoir saldo einde "&amp;F217</f>
        <v>Nog af te bouwen regulatoir saldo einde 2019</v>
      </c>
      <c r="O219" s="610"/>
    </row>
    <row r="220" spans="2:15" ht="13" x14ac:dyDescent="0.25">
      <c r="B220" s="1057">
        <v>2017</v>
      </c>
      <c r="C220" s="1058"/>
      <c r="D220" s="1058"/>
      <c r="E220" s="1059"/>
      <c r="F220" s="896"/>
      <c r="G220" s="839">
        <f>K215</f>
        <v>0</v>
      </c>
      <c r="H220" s="897">
        <f>IF(SIGN(G221*K215)&lt;0,IF(G220&lt;&gt;0,-SIGN(G220)*MIN(ABS(G221),ABS(G220)),0),0)</f>
        <v>0</v>
      </c>
      <c r="I220" s="839">
        <f>+G220+H220</f>
        <v>0</v>
      </c>
      <c r="J220" s="698"/>
      <c r="K220" s="897">
        <f>-MIN(ABS(I220),ABS(J222))*SIGN(I220)</f>
        <v>0</v>
      </c>
      <c r="L220" s="898">
        <f>+K220+H220</f>
        <v>0</v>
      </c>
      <c r="N220" s="839">
        <f>+I220+K220</f>
        <v>0</v>
      </c>
      <c r="O220" s="610"/>
    </row>
    <row r="221" spans="2:15" ht="13" x14ac:dyDescent="0.25">
      <c r="B221" s="1057">
        <v>2018</v>
      </c>
      <c r="C221" s="1058"/>
      <c r="D221" s="1058"/>
      <c r="E221" s="1059"/>
      <c r="F221" s="896"/>
      <c r="G221" s="839">
        <f>H96</f>
        <v>0</v>
      </c>
      <c r="H221" s="898">
        <f>IF(SIGN(G221*K215)&lt;0,-H220,0)</f>
        <v>0</v>
      </c>
      <c r="I221" s="839">
        <f>+G221+H221</f>
        <v>0</v>
      </c>
      <c r="J221" s="698"/>
      <c r="K221" s="897">
        <f>-MIN(ABS(I221),ABS(J222-K220))*SIGN(I221)</f>
        <v>0</v>
      </c>
      <c r="L221" s="898">
        <f>+K221+H221</f>
        <v>0</v>
      </c>
      <c r="N221" s="839">
        <f>+I221+K221</f>
        <v>0</v>
      </c>
      <c r="O221" s="610"/>
    </row>
    <row r="222" spans="2:15" s="18" customFormat="1" ht="13" x14ac:dyDescent="0.3">
      <c r="G222" s="899">
        <f>SUM(G220:G221)</f>
        <v>0</v>
      </c>
      <c r="H222" s="899">
        <f>SUM(H220:H221)</f>
        <v>0</v>
      </c>
      <c r="I222" s="899">
        <f>SUM(I220:I221)</f>
        <v>0</v>
      </c>
      <c r="J222" s="899">
        <f>-I222*0.5</f>
        <v>0</v>
      </c>
      <c r="K222" s="900">
        <f>SUM(K220:K221)</f>
        <v>0</v>
      </c>
      <c r="L222" s="901"/>
      <c r="N222" s="899">
        <f>SUM(N220:N221)</f>
        <v>0</v>
      </c>
    </row>
    <row r="223" spans="2:15" x14ac:dyDescent="0.25">
      <c r="K223" s="20"/>
      <c r="M223" s="610"/>
    </row>
    <row r="224" spans="2:15" ht="13" x14ac:dyDescent="0.3">
      <c r="B224" s="18" t="s">
        <v>362</v>
      </c>
      <c r="F224" s="895">
        <v>2020</v>
      </c>
      <c r="K224" s="20"/>
    </row>
    <row r="225" spans="2:15" x14ac:dyDescent="0.25">
      <c r="K225" s="20"/>
    </row>
    <row r="226" spans="2:15" ht="94.5" customHeight="1" x14ac:dyDescent="0.25">
      <c r="B226" s="1060" t="s">
        <v>363</v>
      </c>
      <c r="C226" s="1061"/>
      <c r="D226" s="1061"/>
      <c r="E226" s="1062"/>
      <c r="F226" s="599"/>
      <c r="G226" s="675" t="str">
        <f>"Nog af te bouwen regulatoir saldo einde "&amp;F224-1</f>
        <v>Nog af te bouwen regulatoir saldo einde 2019</v>
      </c>
      <c r="H226" s="675" t="str">
        <f>"Afbouw oudste openstaande regulatoir saldo vanaf boekjaar "&amp;F224-32&amp;" en vroeger, door aanwending van compensatie met regulatoir saldo ontstaan over boekjaar "&amp;F224-1</f>
        <v>Afbouw oudste openstaande regulatoir saldo vanaf boekjaar 1988 en vroeger, door aanwending van compensatie met regulatoir saldo ontstaan over boekjaar 2019</v>
      </c>
      <c r="I226" s="675" t="str">
        <f>"Nog af te bouwen regulatoir saldo na compensatie einde "&amp;F224-1</f>
        <v>Nog af te bouwen regulatoir saldo na compensatie einde 2019</v>
      </c>
      <c r="J226" s="675" t="str">
        <f>"Aanwending van 50% van het geaccumuleerd regulatoir saldo door te rekenen volgens de tariefmethodologie in het boekjaar "&amp;F224</f>
        <v>Aanwending van 50% van het geaccumuleerd regulatoir saldo door te rekenen volgens de tariefmethodologie in het boekjaar 2020</v>
      </c>
      <c r="K226" s="675" t="str">
        <f>"Aanwending van 50% van het geaccumuleerd regulatoir saldo door te rekenen volgens de tariefmethodologie in het boekjaar "&amp;F224</f>
        <v>Aanwending van 50% van het geaccumuleerd regulatoir saldo door te rekenen volgens de tariefmethodologie in het boekjaar 2020</v>
      </c>
      <c r="L226" s="675" t="str">
        <f>"Totale afbouw over "&amp;F224</f>
        <v>Totale afbouw over 2020</v>
      </c>
      <c r="N226" s="675" t="str">
        <f>"Nog af te bouwen regulatoir saldo einde "&amp;F224</f>
        <v>Nog af te bouwen regulatoir saldo einde 2020</v>
      </c>
      <c r="O226" s="610"/>
    </row>
    <row r="227" spans="2:15" ht="13" x14ac:dyDescent="0.25">
      <c r="B227" s="1057">
        <v>2017</v>
      </c>
      <c r="C227" s="1058"/>
      <c r="D227" s="1058"/>
      <c r="E227" s="1059"/>
      <c r="F227" s="896"/>
      <c r="G227" s="839">
        <f>+N220</f>
        <v>0</v>
      </c>
      <c r="H227" s="898">
        <f>IF(SIGN(G229*N222)&lt;0,IF(G227&lt;&gt;0,-SIGN(G227)*MIN(ABS(G229),ABS(G227)),0),0)</f>
        <v>0</v>
      </c>
      <c r="I227" s="839">
        <f>+G227+H227</f>
        <v>0</v>
      </c>
      <c r="J227" s="698"/>
      <c r="K227" s="897">
        <f>-MIN(ABS(I227),ABS(J230))*SIGN(I227)</f>
        <v>0</v>
      </c>
      <c r="L227" s="898">
        <f>+K227+H227</f>
        <v>0</v>
      </c>
      <c r="N227" s="839">
        <f>+I227+K227</f>
        <v>0</v>
      </c>
      <c r="O227" s="610"/>
    </row>
    <row r="228" spans="2:15" ht="13" x14ac:dyDescent="0.25">
      <c r="B228" s="1057">
        <v>2018</v>
      </c>
      <c r="C228" s="1058"/>
      <c r="D228" s="1058">
        <v>2016</v>
      </c>
      <c r="E228" s="1059"/>
      <c r="F228" s="896"/>
      <c r="G228" s="839">
        <f>+N221</f>
        <v>0</v>
      </c>
      <c r="H228" s="898">
        <f>IF(SIGN(G229*N222)&lt;0,IF(G228&lt;&gt;0,-SIGN(G228)*MIN(ABS(G229-H227),ABS(G228)),0),0)</f>
        <v>0</v>
      </c>
      <c r="I228" s="839">
        <f>+G228+H228</f>
        <v>0</v>
      </c>
      <c r="J228" s="698"/>
      <c r="K228" s="897">
        <f>-MIN(ABS(I228),ABS(J230-K227))*SIGN(I228)</f>
        <v>0</v>
      </c>
      <c r="L228" s="898">
        <f>+K228+H228</f>
        <v>0</v>
      </c>
      <c r="N228" s="839">
        <f>+I228+K228</f>
        <v>0</v>
      </c>
      <c r="O228" s="610"/>
    </row>
    <row r="229" spans="2:15" ht="13" x14ac:dyDescent="0.25">
      <c r="B229" s="1057">
        <v>2019</v>
      </c>
      <c r="C229" s="1058"/>
      <c r="D229" s="1058"/>
      <c r="E229" s="1059"/>
      <c r="F229" s="896"/>
      <c r="G229" s="839">
        <f>I97</f>
        <v>0</v>
      </c>
      <c r="H229" s="898">
        <f>IF(SIGN(G229*N222)&lt;0,-SUM(H227:H228),0)</f>
        <v>0</v>
      </c>
      <c r="I229" s="839">
        <f>+G229+H229</f>
        <v>0</v>
      </c>
      <c r="J229" s="698"/>
      <c r="K229" s="897">
        <f>-MIN(ABS(I229),ABS(J230-K227-K228))*SIGN(I229)</f>
        <v>0</v>
      </c>
      <c r="L229" s="898">
        <f>+K229+H229</f>
        <v>0</v>
      </c>
      <c r="N229" s="839">
        <f>+I229+K229</f>
        <v>0</v>
      </c>
      <c r="O229" s="610"/>
    </row>
    <row r="230" spans="2:15" s="18" customFormat="1" ht="13" x14ac:dyDescent="0.3">
      <c r="G230" s="899">
        <f>SUM(G227:G229)</f>
        <v>0</v>
      </c>
      <c r="H230" s="899">
        <f>SUM(H227:H229)</f>
        <v>0</v>
      </c>
      <c r="I230" s="899">
        <f>SUM(I227:I229)</f>
        <v>0</v>
      </c>
      <c r="J230" s="899">
        <f>-I230*0.5</f>
        <v>0</v>
      </c>
      <c r="K230" s="900">
        <f>SUM(K227:K229)</f>
        <v>0</v>
      </c>
      <c r="L230" s="901"/>
      <c r="N230" s="899">
        <f>SUM(N227:N229)</f>
        <v>0</v>
      </c>
    </row>
    <row r="231" spans="2:15" x14ac:dyDescent="0.25">
      <c r="K231" s="20"/>
      <c r="M231" s="394"/>
    </row>
    <row r="232" spans="2:15" x14ac:dyDescent="0.25">
      <c r="K232" s="20"/>
      <c r="M232" s="394"/>
    </row>
    <row r="233" spans="2:15" ht="13" x14ac:dyDescent="0.3">
      <c r="B233" s="18" t="s">
        <v>364</v>
      </c>
      <c r="C233" s="381"/>
      <c r="D233" s="381"/>
      <c r="E233" s="381"/>
      <c r="K233" s="20"/>
      <c r="M233" s="394"/>
    </row>
    <row r="234" spans="2:15" ht="13" x14ac:dyDescent="0.3">
      <c r="B234" s="18"/>
      <c r="C234" s="381"/>
      <c r="D234" s="381"/>
      <c r="E234" s="381"/>
      <c r="K234" s="20"/>
      <c r="M234" s="394"/>
    </row>
    <row r="235" spans="2:15" ht="13" x14ac:dyDescent="0.3">
      <c r="B235" s="864">
        <f>F212</f>
        <v>2018</v>
      </c>
      <c r="C235" s="906">
        <f>J215</f>
        <v>0</v>
      </c>
      <c r="D235" s="381"/>
      <c r="E235" s="381"/>
      <c r="K235" s="20"/>
      <c r="M235" s="394"/>
    </row>
    <row r="236" spans="2:15" ht="13" x14ac:dyDescent="0.3">
      <c r="B236" s="864">
        <f>F217</f>
        <v>2019</v>
      </c>
      <c r="C236" s="906">
        <f>K222</f>
        <v>0</v>
      </c>
      <c r="D236" s="381"/>
      <c r="E236" s="381"/>
      <c r="K236" s="20"/>
      <c r="M236" s="394"/>
    </row>
    <row r="237" spans="2:15" ht="13" x14ac:dyDescent="0.3">
      <c r="B237" s="864">
        <f>F224</f>
        <v>2020</v>
      </c>
      <c r="C237" s="906">
        <f>K230</f>
        <v>0</v>
      </c>
      <c r="D237" s="381"/>
      <c r="E237" s="381"/>
      <c r="K237" s="20"/>
      <c r="M237" s="394"/>
    </row>
    <row r="238" spans="2:15" ht="13" x14ac:dyDescent="0.3">
      <c r="H238" s="392"/>
      <c r="I238" s="392"/>
      <c r="J238" s="392"/>
      <c r="K238" s="20"/>
      <c r="M238" s="610"/>
    </row>
    <row r="239" spans="2:15" x14ac:dyDescent="0.25">
      <c r="K239" s="20"/>
      <c r="M239" s="610"/>
    </row>
    <row r="240" spans="2:15" ht="13" x14ac:dyDescent="0.3">
      <c r="B240" s="902" t="s">
        <v>133</v>
      </c>
      <c r="C240" s="903"/>
      <c r="D240" s="903"/>
      <c r="E240" s="903"/>
      <c r="F240" s="904"/>
      <c r="G240" s="904"/>
      <c r="H240" s="904"/>
      <c r="I240" s="904"/>
      <c r="J240" s="904"/>
      <c r="K240" s="904"/>
      <c r="L240" s="904"/>
      <c r="M240" s="905"/>
      <c r="N240" s="904"/>
    </row>
    <row r="241" spans="2:15" x14ac:dyDescent="0.25">
      <c r="K241" s="20"/>
      <c r="M241" s="610"/>
    </row>
    <row r="242" spans="2:15" ht="13" x14ac:dyDescent="0.3">
      <c r="B242" s="18" t="s">
        <v>362</v>
      </c>
      <c r="F242" s="895">
        <v>2018</v>
      </c>
      <c r="K242" s="20"/>
      <c r="M242" s="610"/>
    </row>
    <row r="243" spans="2:15" x14ac:dyDescent="0.25">
      <c r="K243" s="20"/>
      <c r="L243" s="610"/>
    </row>
    <row r="244" spans="2:15" ht="82.5" customHeight="1" x14ac:dyDescent="0.25">
      <c r="B244" s="1060" t="s">
        <v>363</v>
      </c>
      <c r="C244" s="1061"/>
      <c r="D244" s="1061"/>
      <c r="E244" s="1062"/>
      <c r="F244" s="599"/>
      <c r="G244" s="675" t="str">
        <f>"Nog af te bouwen regulatoir saldo einde "&amp;F242-1</f>
        <v>Nog af te bouwen regulatoir saldo einde 2017</v>
      </c>
      <c r="H244" s="675" t="str">
        <f>"Afbouw oudste openstaande regulatoir saldo vanaf boekjaar "&amp;F242-2&amp;" en vroeger, door aanwending van compensatie met regulatoir saldo ontstaan over boekjaar "&amp;F242-1</f>
        <v>Afbouw oudste openstaande regulatoir saldo vanaf boekjaar 2016 en vroeger, door aanwending van compensatie met regulatoir saldo ontstaan over boekjaar 2017</v>
      </c>
      <c r="I244" s="675" t="str">
        <f>"Nog af te bouwen regulatoir saldo na compensatie einde "&amp;F242-1</f>
        <v>Nog af te bouwen regulatoir saldo na compensatie einde 2017</v>
      </c>
      <c r="J244" s="675" t="str">
        <f>"Aanwending van 50% van het geaccumuleerd regulatoir saldo door te rekenen volgens de tariefmethodologie in het boekjaar "&amp;F242</f>
        <v>Aanwending van 50% van het geaccumuleerd regulatoir saldo door te rekenen volgens de tariefmethodologie in het boekjaar 2018</v>
      </c>
      <c r="K244" s="675" t="str">
        <f>"Nog af te bouwen regulatoir saldo einde "&amp;F242</f>
        <v>Nog af te bouwen regulatoir saldo einde 2018</v>
      </c>
      <c r="L244" s="610"/>
    </row>
    <row r="245" spans="2:15" ht="13" x14ac:dyDescent="0.25">
      <c r="B245" s="1057">
        <v>2017</v>
      </c>
      <c r="C245" s="1058"/>
      <c r="D245" s="1058"/>
      <c r="E245" s="1059"/>
      <c r="F245" s="896"/>
      <c r="G245" s="839">
        <f>G100</f>
        <v>0</v>
      </c>
      <c r="H245" s="897">
        <v>0</v>
      </c>
      <c r="I245" s="839">
        <f>+G245+H245</f>
        <v>0</v>
      </c>
      <c r="J245" s="839">
        <f>-I245*0.5</f>
        <v>0</v>
      </c>
      <c r="K245" s="908">
        <f>+J245+G245</f>
        <v>0</v>
      </c>
      <c r="L245" s="610"/>
    </row>
    <row r="246" spans="2:15" x14ac:dyDescent="0.25">
      <c r="K246" s="20"/>
      <c r="L246" s="610"/>
    </row>
    <row r="247" spans="2:15" ht="13" x14ac:dyDescent="0.3">
      <c r="B247" s="18" t="s">
        <v>362</v>
      </c>
      <c r="F247" s="895">
        <v>2019</v>
      </c>
      <c r="K247" s="20"/>
      <c r="M247" s="610"/>
    </row>
    <row r="248" spans="2:15" x14ac:dyDescent="0.25">
      <c r="K248" s="20"/>
      <c r="M248" s="610"/>
    </row>
    <row r="249" spans="2:15" ht="84" customHeight="1" x14ac:dyDescent="0.25">
      <c r="B249" s="1060" t="s">
        <v>363</v>
      </c>
      <c r="C249" s="1061"/>
      <c r="D249" s="1061"/>
      <c r="E249" s="1062"/>
      <c r="F249" s="599"/>
      <c r="G249" s="675" t="str">
        <f>"Nog af te bouwen regulatoir saldo einde "&amp;F247-1</f>
        <v>Nog af te bouwen regulatoir saldo einde 2018</v>
      </c>
      <c r="H249" s="675" t="str">
        <f>"Afbouw oudste openstaande regulatoir saldo vanaf boekjaar "&amp;F247-2&amp;" en vroeger, door aanwending van compensatie met regulatoir saldo ontstaan over boekjaar "&amp;F247-1</f>
        <v>Afbouw oudste openstaande regulatoir saldo vanaf boekjaar 2017 en vroeger, door aanwending van compensatie met regulatoir saldo ontstaan over boekjaar 2018</v>
      </c>
      <c r="I249" s="675" t="str">
        <f>"Nog af te bouwen regulatoir saldo na compensatie einde "&amp;F247-1</f>
        <v>Nog af te bouwen regulatoir saldo na compensatie einde 2018</v>
      </c>
      <c r="J249" s="675" t="str">
        <f>"Aanwending van 50% van het geaccumuleerd regulatoir saldo door te rekenen volgens de tariefmethodologie in het boekjaar "&amp;F247</f>
        <v>Aanwending van 50% van het geaccumuleerd regulatoir saldo door te rekenen volgens de tariefmethodologie in het boekjaar 2019</v>
      </c>
      <c r="K249" s="675" t="str">
        <f>"Aanwending van 50% van het geaccumuleerd regulatoir saldo door te rekenen volgens de tariefmethodologie in het boekjaar "&amp;F247</f>
        <v>Aanwending van 50% van het geaccumuleerd regulatoir saldo door te rekenen volgens de tariefmethodologie in het boekjaar 2019</v>
      </c>
      <c r="L249" s="675" t="str">
        <f>"Totale afbouw over "&amp;F247</f>
        <v>Totale afbouw over 2019</v>
      </c>
      <c r="N249" s="675" t="str">
        <f>"Nog af te bouwen regulatoir saldo einde "&amp;F247</f>
        <v>Nog af te bouwen regulatoir saldo einde 2019</v>
      </c>
      <c r="O249" s="610"/>
    </row>
    <row r="250" spans="2:15" ht="13" x14ac:dyDescent="0.25">
      <c r="B250" s="1057">
        <v>2017</v>
      </c>
      <c r="C250" s="1058"/>
      <c r="D250" s="1058"/>
      <c r="E250" s="1059"/>
      <c r="F250" s="896"/>
      <c r="G250" s="839">
        <f>K245</f>
        <v>0</v>
      </c>
      <c r="H250" s="897">
        <f>IF(SIGN(G251*K245)&lt;0,IF(G250&lt;&gt;0,-SIGN(G250)*MIN(ABS(G251),ABS(G250)),0),0)</f>
        <v>0</v>
      </c>
      <c r="I250" s="839">
        <f>+G250+H250</f>
        <v>0</v>
      </c>
      <c r="J250" s="698"/>
      <c r="K250" s="897">
        <f>-MIN(ABS(I250),ABS(J252))*SIGN(I250)</f>
        <v>0</v>
      </c>
      <c r="L250" s="898">
        <f>+K250+H250</f>
        <v>0</v>
      </c>
      <c r="N250" s="839">
        <f>+I250+K250</f>
        <v>0</v>
      </c>
      <c r="O250" s="610"/>
    </row>
    <row r="251" spans="2:15" ht="13" x14ac:dyDescent="0.25">
      <c r="B251" s="1057">
        <v>2018</v>
      </c>
      <c r="C251" s="1058"/>
      <c r="D251" s="1058"/>
      <c r="E251" s="1059"/>
      <c r="F251" s="896"/>
      <c r="G251" s="839">
        <f>H101</f>
        <v>0</v>
      </c>
      <c r="H251" s="898">
        <f>IF(SIGN(G251*K245)&lt;0,-H250,0)</f>
        <v>0</v>
      </c>
      <c r="I251" s="839">
        <f>+G251+H251</f>
        <v>0</v>
      </c>
      <c r="J251" s="698"/>
      <c r="K251" s="897">
        <f>-MIN(ABS(I251),ABS(J252-K250))*SIGN(I251)</f>
        <v>0</v>
      </c>
      <c r="L251" s="898">
        <f>+K251+H251</f>
        <v>0</v>
      </c>
      <c r="N251" s="839">
        <f>+I251+K251</f>
        <v>0</v>
      </c>
      <c r="O251" s="610"/>
    </row>
    <row r="252" spans="2:15" s="18" customFormat="1" ht="13" x14ac:dyDescent="0.3">
      <c r="G252" s="899">
        <f>SUM(G250:G251)</f>
        <v>0</v>
      </c>
      <c r="H252" s="899">
        <f>SUM(H250:H251)</f>
        <v>0</v>
      </c>
      <c r="I252" s="899">
        <f>SUM(I250:I251)</f>
        <v>0</v>
      </c>
      <c r="J252" s="899">
        <f>-I252*0.5</f>
        <v>0</v>
      </c>
      <c r="K252" s="900">
        <f>SUM(K250:K251)</f>
        <v>0</v>
      </c>
      <c r="L252" s="901"/>
      <c r="N252" s="899">
        <f>SUM(N250:N251)</f>
        <v>0</v>
      </c>
    </row>
    <row r="253" spans="2:15" x14ac:dyDescent="0.25">
      <c r="K253" s="20"/>
      <c r="M253" s="610"/>
    </row>
    <row r="254" spans="2:15" ht="13" x14ac:dyDescent="0.3">
      <c r="B254" s="18" t="s">
        <v>362</v>
      </c>
      <c r="F254" s="895">
        <v>2020</v>
      </c>
      <c r="K254" s="20"/>
    </row>
    <row r="255" spans="2:15" x14ac:dyDescent="0.25">
      <c r="K255" s="20"/>
    </row>
    <row r="256" spans="2:15" ht="94.5" customHeight="1" x14ac:dyDescent="0.25">
      <c r="B256" s="1060" t="s">
        <v>363</v>
      </c>
      <c r="C256" s="1061"/>
      <c r="D256" s="1061"/>
      <c r="E256" s="1062"/>
      <c r="F256" s="599"/>
      <c r="G256" s="675" t="str">
        <f>"Nog af te bouwen regulatoir saldo einde "&amp;F254-1</f>
        <v>Nog af te bouwen regulatoir saldo einde 2019</v>
      </c>
      <c r="H256" s="675" t="str">
        <f>"Afbouw oudste openstaande regulatoir saldo vanaf boekjaar "&amp;F254-32&amp;" en vroeger, door aanwending van compensatie met regulatoir saldo ontstaan over boekjaar "&amp;F254-1</f>
        <v>Afbouw oudste openstaande regulatoir saldo vanaf boekjaar 1988 en vroeger, door aanwending van compensatie met regulatoir saldo ontstaan over boekjaar 2019</v>
      </c>
      <c r="I256" s="675" t="str">
        <f>"Nog af te bouwen regulatoir saldo na compensatie einde "&amp;F254-1</f>
        <v>Nog af te bouwen regulatoir saldo na compensatie einde 2019</v>
      </c>
      <c r="J256" s="675" t="str">
        <f>"Aanwending van 50% van het geaccumuleerd regulatoir saldo door te rekenen volgens de tariefmethodologie in het boekjaar "&amp;F254</f>
        <v>Aanwending van 50% van het geaccumuleerd regulatoir saldo door te rekenen volgens de tariefmethodologie in het boekjaar 2020</v>
      </c>
      <c r="K256" s="675" t="str">
        <f>"Aanwending van 50% van het geaccumuleerd regulatoir saldo door te rekenen volgens de tariefmethodologie in het boekjaar "&amp;F254</f>
        <v>Aanwending van 50% van het geaccumuleerd regulatoir saldo door te rekenen volgens de tariefmethodologie in het boekjaar 2020</v>
      </c>
      <c r="L256" s="675" t="str">
        <f>"Totale afbouw over "&amp;F254</f>
        <v>Totale afbouw over 2020</v>
      </c>
      <c r="N256" s="675" t="str">
        <f>"Nog af te bouwen regulatoir saldo einde "&amp;F254</f>
        <v>Nog af te bouwen regulatoir saldo einde 2020</v>
      </c>
      <c r="O256" s="610"/>
    </row>
    <row r="257" spans="2:15" ht="13" x14ac:dyDescent="0.25">
      <c r="B257" s="1057">
        <v>2017</v>
      </c>
      <c r="C257" s="1058"/>
      <c r="D257" s="1058"/>
      <c r="E257" s="1059"/>
      <c r="F257" s="896"/>
      <c r="G257" s="839">
        <f>+N250</f>
        <v>0</v>
      </c>
      <c r="H257" s="898">
        <f>IF(SIGN(G259*N252)&lt;0,IF(G257&lt;&gt;0,-SIGN(G257)*MIN(ABS(G259),ABS(G257)),0),0)</f>
        <v>0</v>
      </c>
      <c r="I257" s="839">
        <f>+G257+H257</f>
        <v>0</v>
      </c>
      <c r="J257" s="698"/>
      <c r="K257" s="897">
        <f>-MIN(ABS(I257),ABS(J260))*SIGN(I257)</f>
        <v>0</v>
      </c>
      <c r="L257" s="898">
        <f>+K257+H257</f>
        <v>0</v>
      </c>
      <c r="N257" s="839">
        <f>+I257+K257</f>
        <v>0</v>
      </c>
      <c r="O257" s="610"/>
    </row>
    <row r="258" spans="2:15" ht="13" x14ac:dyDescent="0.25">
      <c r="B258" s="1057">
        <v>2018</v>
      </c>
      <c r="C258" s="1058"/>
      <c r="D258" s="1058">
        <v>2016</v>
      </c>
      <c r="E258" s="1059"/>
      <c r="F258" s="896"/>
      <c r="G258" s="839">
        <f>+N251</f>
        <v>0</v>
      </c>
      <c r="H258" s="898">
        <f>IF(SIGN(G259*N252)&lt;0,IF(G258&lt;&gt;0,-SIGN(G258)*MIN(ABS(G259-H257),ABS(G258)),0),0)</f>
        <v>0</v>
      </c>
      <c r="I258" s="839">
        <f>+G258+H258</f>
        <v>0</v>
      </c>
      <c r="J258" s="698"/>
      <c r="K258" s="897">
        <f>-MIN(ABS(I258),ABS(J260-K257))*SIGN(I258)</f>
        <v>0</v>
      </c>
      <c r="L258" s="898">
        <f>+K258+H258</f>
        <v>0</v>
      </c>
      <c r="N258" s="839">
        <f>+I258+K258</f>
        <v>0</v>
      </c>
      <c r="O258" s="610"/>
    </row>
    <row r="259" spans="2:15" ht="13" x14ac:dyDescent="0.25">
      <c r="B259" s="1057">
        <v>2019</v>
      </c>
      <c r="C259" s="1058"/>
      <c r="D259" s="1058"/>
      <c r="E259" s="1059"/>
      <c r="F259" s="896"/>
      <c r="G259" s="839">
        <f>I102</f>
        <v>0</v>
      </c>
      <c r="H259" s="898">
        <f>IF(SIGN(G259*N252)&lt;0,-SUM(H257:H258),0)</f>
        <v>0</v>
      </c>
      <c r="I259" s="839">
        <f>+G259+H259</f>
        <v>0</v>
      </c>
      <c r="J259" s="698"/>
      <c r="K259" s="897">
        <f>-MIN(ABS(I259),ABS(J260-K257-K258))*SIGN(I259)</f>
        <v>0</v>
      </c>
      <c r="L259" s="898">
        <f>+K259+H259</f>
        <v>0</v>
      </c>
      <c r="N259" s="839">
        <f>+I259+K259</f>
        <v>0</v>
      </c>
      <c r="O259" s="610"/>
    </row>
    <row r="260" spans="2:15" s="18" customFormat="1" ht="13" x14ac:dyDescent="0.3">
      <c r="G260" s="899">
        <f>SUM(G257:G259)</f>
        <v>0</v>
      </c>
      <c r="H260" s="899">
        <f>SUM(H257:H259)</f>
        <v>0</v>
      </c>
      <c r="I260" s="899">
        <f>SUM(I257:I259)</f>
        <v>0</v>
      </c>
      <c r="J260" s="899">
        <f>-I260*0.5</f>
        <v>0</v>
      </c>
      <c r="K260" s="900">
        <f>SUM(K257:K259)</f>
        <v>0</v>
      </c>
      <c r="L260" s="901"/>
      <c r="N260" s="899">
        <f>SUM(N257:N259)</f>
        <v>0</v>
      </c>
    </row>
    <row r="261" spans="2:15" x14ac:dyDescent="0.25">
      <c r="K261" s="20"/>
      <c r="M261" s="394"/>
    </row>
    <row r="262" spans="2:15" x14ac:dyDescent="0.25">
      <c r="K262" s="20"/>
      <c r="M262" s="394"/>
    </row>
    <row r="263" spans="2:15" ht="13" x14ac:dyDescent="0.3">
      <c r="B263" s="18" t="s">
        <v>364</v>
      </c>
      <c r="C263" s="381"/>
      <c r="D263" s="381"/>
      <c r="E263" s="381"/>
      <c r="K263" s="20"/>
      <c r="M263" s="394"/>
    </row>
    <row r="264" spans="2:15" ht="13" x14ac:dyDescent="0.3">
      <c r="B264" s="18"/>
      <c r="C264" s="381"/>
      <c r="D264" s="381"/>
      <c r="E264" s="381"/>
      <c r="K264" s="20"/>
      <c r="M264" s="394"/>
    </row>
    <row r="265" spans="2:15" ht="13" x14ac:dyDescent="0.3">
      <c r="B265" s="864">
        <f>F242</f>
        <v>2018</v>
      </c>
      <c r="C265" s="906">
        <f>J245</f>
        <v>0</v>
      </c>
      <c r="D265" s="381"/>
      <c r="E265" s="381"/>
      <c r="K265" s="20"/>
      <c r="M265" s="394"/>
    </row>
    <row r="266" spans="2:15" ht="13" x14ac:dyDescent="0.3">
      <c r="B266" s="864">
        <f>F247</f>
        <v>2019</v>
      </c>
      <c r="C266" s="906">
        <f>K252</f>
        <v>0</v>
      </c>
      <c r="D266" s="381"/>
      <c r="E266" s="381"/>
      <c r="K266" s="20"/>
      <c r="M266" s="394"/>
    </row>
    <row r="267" spans="2:15" ht="13" x14ac:dyDescent="0.3">
      <c r="B267" s="864">
        <f>F254</f>
        <v>2020</v>
      </c>
      <c r="C267" s="906">
        <f>K260</f>
        <v>0</v>
      </c>
      <c r="D267" s="381"/>
      <c r="E267" s="381"/>
      <c r="K267" s="20"/>
      <c r="M267" s="394"/>
    </row>
    <row r="268" spans="2:15" ht="13" x14ac:dyDescent="0.3">
      <c r="H268" s="392"/>
      <c r="I268" s="392"/>
      <c r="J268" s="392"/>
      <c r="K268" s="20"/>
      <c r="M268" s="610"/>
    </row>
    <row r="269" spans="2:15" x14ac:dyDescent="0.25">
      <c r="K269" s="20"/>
      <c r="M269" s="610"/>
    </row>
    <row r="270" spans="2:15" ht="13" x14ac:dyDescent="0.3">
      <c r="B270" s="902" t="s">
        <v>239</v>
      </c>
      <c r="C270" s="903"/>
      <c r="D270" s="903"/>
      <c r="E270" s="903"/>
      <c r="F270" s="904"/>
      <c r="G270" s="904"/>
      <c r="H270" s="904"/>
      <c r="I270" s="904"/>
      <c r="J270" s="904"/>
      <c r="K270" s="904"/>
      <c r="L270" s="904"/>
      <c r="M270" s="905"/>
      <c r="N270" s="904"/>
    </row>
    <row r="271" spans="2:15" x14ac:dyDescent="0.25">
      <c r="K271" s="20"/>
      <c r="M271" s="610"/>
    </row>
    <row r="272" spans="2:15" ht="13" x14ac:dyDescent="0.3">
      <c r="B272" s="18" t="s">
        <v>362</v>
      </c>
      <c r="F272" s="895">
        <v>2018</v>
      </c>
      <c r="K272" s="20"/>
      <c r="M272" s="610"/>
    </row>
    <row r="273" spans="2:15" x14ac:dyDescent="0.25">
      <c r="K273" s="20"/>
      <c r="L273" s="610"/>
    </row>
    <row r="274" spans="2:15" ht="82.5" customHeight="1" x14ac:dyDescent="0.25">
      <c r="B274" s="1060" t="s">
        <v>363</v>
      </c>
      <c r="C274" s="1061"/>
      <c r="D274" s="1061"/>
      <c r="E274" s="1062"/>
      <c r="F274" s="599"/>
      <c r="G274" s="675" t="str">
        <f>"Nog af te bouwen regulatoir saldo einde "&amp;F272-1</f>
        <v>Nog af te bouwen regulatoir saldo einde 2017</v>
      </c>
      <c r="H274" s="675" t="str">
        <f>"Afbouw oudste openstaande regulatoir saldo vanaf boekjaar "&amp;F272-2&amp;" en vroeger, door aanwending van compensatie met regulatoir saldo ontstaan over boekjaar "&amp;F272-1</f>
        <v>Afbouw oudste openstaande regulatoir saldo vanaf boekjaar 2016 en vroeger, door aanwending van compensatie met regulatoir saldo ontstaan over boekjaar 2017</v>
      </c>
      <c r="I274" s="675" t="str">
        <f>"Nog af te bouwen regulatoir saldo na compensatie einde "&amp;F272-1</f>
        <v>Nog af te bouwen regulatoir saldo na compensatie einde 2017</v>
      </c>
      <c r="J274" s="675" t="str">
        <f>"Aanwending van 50% van het geaccumuleerd regulatoir saldo door te rekenen volgens de tariefmethodologie in het boekjaar "&amp;F272</f>
        <v>Aanwending van 50% van het geaccumuleerd regulatoir saldo door te rekenen volgens de tariefmethodologie in het boekjaar 2018</v>
      </c>
      <c r="K274" s="675" t="str">
        <f>"Nog af te bouwen regulatoir saldo einde "&amp;F272</f>
        <v>Nog af te bouwen regulatoir saldo einde 2018</v>
      </c>
      <c r="L274" s="610"/>
    </row>
    <row r="275" spans="2:15" ht="13" x14ac:dyDescent="0.25">
      <c r="B275" s="1057">
        <v>2017</v>
      </c>
      <c r="C275" s="1058"/>
      <c r="D275" s="1058"/>
      <c r="E275" s="1059"/>
      <c r="F275" s="896"/>
      <c r="G275" s="839">
        <f>G105</f>
        <v>0</v>
      </c>
      <c r="H275" s="897">
        <v>0</v>
      </c>
      <c r="I275" s="839">
        <f>+G275+H275</f>
        <v>0</v>
      </c>
      <c r="J275" s="839">
        <f>-I275*0.5</f>
        <v>0</v>
      </c>
      <c r="K275" s="908">
        <f>+J275+G275</f>
        <v>0</v>
      </c>
      <c r="L275" s="610"/>
    </row>
    <row r="276" spans="2:15" x14ac:dyDescent="0.25">
      <c r="K276" s="20"/>
      <c r="L276" s="610"/>
    </row>
    <row r="277" spans="2:15" ht="13" x14ac:dyDescent="0.3">
      <c r="B277" s="18" t="s">
        <v>362</v>
      </c>
      <c r="F277" s="895">
        <v>2019</v>
      </c>
      <c r="K277" s="20"/>
      <c r="M277" s="610"/>
    </row>
    <row r="278" spans="2:15" x14ac:dyDescent="0.25">
      <c r="K278" s="20"/>
      <c r="M278" s="610"/>
    </row>
    <row r="279" spans="2:15" ht="84" customHeight="1" x14ac:dyDescent="0.25">
      <c r="B279" s="1060" t="s">
        <v>363</v>
      </c>
      <c r="C279" s="1061"/>
      <c r="D279" s="1061"/>
      <c r="E279" s="1062"/>
      <c r="F279" s="599"/>
      <c r="G279" s="675" t="str">
        <f>"Nog af te bouwen regulatoir saldo einde "&amp;F277-1</f>
        <v>Nog af te bouwen regulatoir saldo einde 2018</v>
      </c>
      <c r="H279" s="675" t="str">
        <f>"Afbouw oudste openstaande regulatoir saldo vanaf boekjaar "&amp;F277-2&amp;" en vroeger, door aanwending van compensatie met regulatoir saldo ontstaan over boekjaar "&amp;F277-1</f>
        <v>Afbouw oudste openstaande regulatoir saldo vanaf boekjaar 2017 en vroeger, door aanwending van compensatie met regulatoir saldo ontstaan over boekjaar 2018</v>
      </c>
      <c r="I279" s="675" t="str">
        <f>"Nog af te bouwen regulatoir saldo na compensatie einde "&amp;F277-1</f>
        <v>Nog af te bouwen regulatoir saldo na compensatie einde 2018</v>
      </c>
      <c r="J279" s="675" t="str">
        <f>"Aanwending van 50% van het geaccumuleerd regulatoir saldo door te rekenen volgens de tariefmethodologie in het boekjaar "&amp;F277</f>
        <v>Aanwending van 50% van het geaccumuleerd regulatoir saldo door te rekenen volgens de tariefmethodologie in het boekjaar 2019</v>
      </c>
      <c r="K279" s="675" t="str">
        <f>"Aanwending van 50% van het geaccumuleerd regulatoir saldo door te rekenen volgens de tariefmethodologie in het boekjaar "&amp;F277</f>
        <v>Aanwending van 50% van het geaccumuleerd regulatoir saldo door te rekenen volgens de tariefmethodologie in het boekjaar 2019</v>
      </c>
      <c r="L279" s="675" t="str">
        <f>"Totale afbouw over "&amp;F277</f>
        <v>Totale afbouw over 2019</v>
      </c>
      <c r="N279" s="675" t="str">
        <f>"Nog af te bouwen regulatoir saldo einde "&amp;F277</f>
        <v>Nog af te bouwen regulatoir saldo einde 2019</v>
      </c>
      <c r="O279" s="610"/>
    </row>
    <row r="280" spans="2:15" ht="13" x14ac:dyDescent="0.25">
      <c r="B280" s="1057">
        <v>2017</v>
      </c>
      <c r="C280" s="1058"/>
      <c r="D280" s="1058"/>
      <c r="E280" s="1059"/>
      <c r="F280" s="896"/>
      <c r="G280" s="839">
        <f>K275</f>
        <v>0</v>
      </c>
      <c r="H280" s="897">
        <f>IF(SIGN(G281*K275)&lt;0,IF(G280&lt;&gt;0,-SIGN(G280)*MIN(ABS(G281),ABS(G280)),0),0)</f>
        <v>0</v>
      </c>
      <c r="I280" s="839">
        <f>+G280+H280</f>
        <v>0</v>
      </c>
      <c r="J280" s="698"/>
      <c r="K280" s="897">
        <f>-MIN(ABS(I280),ABS(J282))*SIGN(I280)</f>
        <v>0</v>
      </c>
      <c r="L280" s="898">
        <f>+K280+H280</f>
        <v>0</v>
      </c>
      <c r="N280" s="839">
        <f>+I280+K280</f>
        <v>0</v>
      </c>
      <c r="O280" s="610"/>
    </row>
    <row r="281" spans="2:15" ht="13" x14ac:dyDescent="0.25">
      <c r="B281" s="1057">
        <v>2018</v>
      </c>
      <c r="C281" s="1058"/>
      <c r="D281" s="1058"/>
      <c r="E281" s="1059"/>
      <c r="F281" s="896"/>
      <c r="G281" s="839">
        <f>H106</f>
        <v>0</v>
      </c>
      <c r="H281" s="898">
        <f>IF(SIGN(G281*K275)&lt;0,-H280,0)</f>
        <v>0</v>
      </c>
      <c r="I281" s="839">
        <f>+G281+H281</f>
        <v>0</v>
      </c>
      <c r="J281" s="698"/>
      <c r="K281" s="897">
        <f>-MIN(ABS(I281),ABS(J282-K280))*SIGN(I281)</f>
        <v>0</v>
      </c>
      <c r="L281" s="898">
        <f>+K281+H281</f>
        <v>0</v>
      </c>
      <c r="N281" s="839">
        <f>+I281+K281</f>
        <v>0</v>
      </c>
      <c r="O281" s="610"/>
    </row>
    <row r="282" spans="2:15" s="18" customFormat="1" ht="13" x14ac:dyDescent="0.3">
      <c r="G282" s="899">
        <f>SUM(G280:G281)</f>
        <v>0</v>
      </c>
      <c r="H282" s="899">
        <f>SUM(H280:H281)</f>
        <v>0</v>
      </c>
      <c r="I282" s="899">
        <f>SUM(I280:I281)</f>
        <v>0</v>
      </c>
      <c r="J282" s="899">
        <f>-I282*0.5</f>
        <v>0</v>
      </c>
      <c r="K282" s="900">
        <f>SUM(K280:K281)</f>
        <v>0</v>
      </c>
      <c r="L282" s="901"/>
      <c r="N282" s="899">
        <f>SUM(N280:N281)</f>
        <v>0</v>
      </c>
    </row>
    <row r="283" spans="2:15" x14ac:dyDescent="0.25">
      <c r="K283" s="20"/>
      <c r="M283" s="610"/>
    </row>
    <row r="284" spans="2:15" ht="13" x14ac:dyDescent="0.3">
      <c r="B284" s="18" t="s">
        <v>362</v>
      </c>
      <c r="F284" s="895">
        <v>2020</v>
      </c>
      <c r="K284" s="20"/>
    </row>
    <row r="285" spans="2:15" x14ac:dyDescent="0.25">
      <c r="K285" s="20"/>
    </row>
    <row r="286" spans="2:15" ht="94.5" customHeight="1" x14ac:dyDescent="0.25">
      <c r="B286" s="1060" t="s">
        <v>363</v>
      </c>
      <c r="C286" s="1061"/>
      <c r="D286" s="1061"/>
      <c r="E286" s="1062"/>
      <c r="F286" s="599"/>
      <c r="G286" s="675" t="str">
        <f>"Nog af te bouwen regulatoir saldo einde "&amp;F284-1</f>
        <v>Nog af te bouwen regulatoir saldo einde 2019</v>
      </c>
      <c r="H286" s="675" t="str">
        <f>"Afbouw oudste openstaande regulatoir saldo vanaf boekjaar "&amp;F284-32&amp;" en vroeger, door aanwending van compensatie met regulatoir saldo ontstaan over boekjaar "&amp;F284-1</f>
        <v>Afbouw oudste openstaande regulatoir saldo vanaf boekjaar 1988 en vroeger, door aanwending van compensatie met regulatoir saldo ontstaan over boekjaar 2019</v>
      </c>
      <c r="I286" s="675" t="str">
        <f>"Nog af te bouwen regulatoir saldo na compensatie einde "&amp;F284-1</f>
        <v>Nog af te bouwen regulatoir saldo na compensatie einde 2019</v>
      </c>
      <c r="J286" s="675" t="str">
        <f>"Aanwending van 50% van het geaccumuleerd regulatoir saldo door te rekenen volgens de tariefmethodologie in het boekjaar "&amp;F284</f>
        <v>Aanwending van 50% van het geaccumuleerd regulatoir saldo door te rekenen volgens de tariefmethodologie in het boekjaar 2020</v>
      </c>
      <c r="K286" s="675" t="str">
        <f>"Aanwending van 50% van het geaccumuleerd regulatoir saldo door te rekenen volgens de tariefmethodologie in het boekjaar "&amp;F284</f>
        <v>Aanwending van 50% van het geaccumuleerd regulatoir saldo door te rekenen volgens de tariefmethodologie in het boekjaar 2020</v>
      </c>
      <c r="L286" s="675" t="str">
        <f>"Totale afbouw over "&amp;F284</f>
        <v>Totale afbouw over 2020</v>
      </c>
      <c r="N286" s="675" t="str">
        <f>"Nog af te bouwen regulatoir saldo einde "&amp;F284</f>
        <v>Nog af te bouwen regulatoir saldo einde 2020</v>
      </c>
      <c r="O286" s="610"/>
    </row>
    <row r="287" spans="2:15" ht="13" x14ac:dyDescent="0.25">
      <c r="B287" s="1057">
        <v>2017</v>
      </c>
      <c r="C287" s="1058"/>
      <c r="D287" s="1058"/>
      <c r="E287" s="1059"/>
      <c r="F287" s="896"/>
      <c r="G287" s="839">
        <f>+N280</f>
        <v>0</v>
      </c>
      <c r="H287" s="898">
        <f>IF(SIGN(G289*N282)&lt;0,IF(G287&lt;&gt;0,-SIGN(G287)*MIN(ABS(G289),ABS(G287)),0),0)</f>
        <v>0</v>
      </c>
      <c r="I287" s="839">
        <f>+G287+H287</f>
        <v>0</v>
      </c>
      <c r="J287" s="698"/>
      <c r="K287" s="897">
        <f>-MIN(ABS(I287),ABS(J290))*SIGN(I287)</f>
        <v>0</v>
      </c>
      <c r="L287" s="898">
        <f>+K287+H287</f>
        <v>0</v>
      </c>
      <c r="N287" s="839">
        <f>+I287+K287</f>
        <v>0</v>
      </c>
      <c r="O287" s="610"/>
    </row>
    <row r="288" spans="2:15" ht="13" x14ac:dyDescent="0.25">
      <c r="B288" s="1057">
        <v>2018</v>
      </c>
      <c r="C288" s="1058"/>
      <c r="D288" s="1058">
        <v>2016</v>
      </c>
      <c r="E288" s="1059"/>
      <c r="F288" s="896"/>
      <c r="G288" s="839">
        <f>+N281</f>
        <v>0</v>
      </c>
      <c r="H288" s="898">
        <f>IF(SIGN(G289*N282)&lt;0,IF(G288&lt;&gt;0,-SIGN(G288)*MIN(ABS(G289-H287),ABS(G288)),0),0)</f>
        <v>0</v>
      </c>
      <c r="I288" s="839">
        <f>+G288+H288</f>
        <v>0</v>
      </c>
      <c r="J288" s="698"/>
      <c r="K288" s="897">
        <f>-MIN(ABS(I288),ABS(J290-K287))*SIGN(I288)</f>
        <v>0</v>
      </c>
      <c r="L288" s="898">
        <f>+K288+H288</f>
        <v>0</v>
      </c>
      <c r="N288" s="839">
        <f>+I288+K288</f>
        <v>0</v>
      </c>
      <c r="O288" s="610"/>
    </row>
    <row r="289" spans="2:15" ht="13" x14ac:dyDescent="0.25">
      <c r="B289" s="1057">
        <v>2019</v>
      </c>
      <c r="C289" s="1058"/>
      <c r="D289" s="1058"/>
      <c r="E289" s="1059"/>
      <c r="F289" s="896"/>
      <c r="G289" s="839">
        <f>I107</f>
        <v>0</v>
      </c>
      <c r="H289" s="898">
        <f>IF(SIGN(G289*N282)&lt;0,-SUM(H287:H288),0)</f>
        <v>0</v>
      </c>
      <c r="I289" s="839">
        <f>+G289+H289</f>
        <v>0</v>
      </c>
      <c r="J289" s="698"/>
      <c r="K289" s="897">
        <f>-MIN(ABS(I289),ABS(J290-K287-K288))*SIGN(I289)</f>
        <v>0</v>
      </c>
      <c r="L289" s="898">
        <f>+K289+H289</f>
        <v>0</v>
      </c>
      <c r="N289" s="839">
        <f>+I289+K289</f>
        <v>0</v>
      </c>
      <c r="O289" s="610"/>
    </row>
    <row r="290" spans="2:15" s="18" customFormat="1" ht="13" x14ac:dyDescent="0.3">
      <c r="G290" s="899">
        <f>SUM(G287:G289)</f>
        <v>0</v>
      </c>
      <c r="H290" s="899">
        <f>SUM(H287:H289)</f>
        <v>0</v>
      </c>
      <c r="I290" s="899">
        <f>SUM(I287:I289)</f>
        <v>0</v>
      </c>
      <c r="J290" s="899">
        <f>-I290*0.5</f>
        <v>0</v>
      </c>
      <c r="K290" s="900">
        <f>SUM(K287:K289)</f>
        <v>0</v>
      </c>
      <c r="L290" s="901"/>
      <c r="N290" s="899">
        <f>SUM(N287:N289)</f>
        <v>0</v>
      </c>
    </row>
    <row r="291" spans="2:15" x14ac:dyDescent="0.25">
      <c r="K291" s="20"/>
      <c r="M291" s="394"/>
    </row>
    <row r="292" spans="2:15" x14ac:dyDescent="0.25">
      <c r="K292" s="20"/>
      <c r="M292" s="394"/>
    </row>
    <row r="293" spans="2:15" ht="13" x14ac:dyDescent="0.3">
      <c r="B293" s="18" t="s">
        <v>364</v>
      </c>
      <c r="C293" s="381"/>
      <c r="D293" s="381"/>
      <c r="E293" s="381"/>
      <c r="K293" s="20"/>
      <c r="M293" s="394"/>
    </row>
    <row r="294" spans="2:15" ht="13" x14ac:dyDescent="0.3">
      <c r="B294" s="18"/>
      <c r="C294" s="381"/>
      <c r="D294" s="381"/>
      <c r="E294" s="381"/>
      <c r="K294" s="20"/>
      <c r="M294" s="394"/>
    </row>
    <row r="295" spans="2:15" ht="13" x14ac:dyDescent="0.3">
      <c r="B295" s="864">
        <f>F272</f>
        <v>2018</v>
      </c>
      <c r="C295" s="906">
        <f>J275</f>
        <v>0</v>
      </c>
      <c r="D295" s="381"/>
      <c r="E295" s="381"/>
      <c r="K295" s="20"/>
      <c r="M295" s="394"/>
    </row>
    <row r="296" spans="2:15" ht="13" x14ac:dyDescent="0.3">
      <c r="B296" s="864">
        <f>F277</f>
        <v>2019</v>
      </c>
      <c r="C296" s="906">
        <f>K282</f>
        <v>0</v>
      </c>
      <c r="D296" s="381"/>
      <c r="E296" s="381"/>
      <c r="K296" s="20"/>
      <c r="M296" s="394"/>
    </row>
    <row r="297" spans="2:15" ht="13" x14ac:dyDescent="0.3">
      <c r="B297" s="864">
        <f>F284</f>
        <v>2020</v>
      </c>
      <c r="C297" s="906">
        <f>K290</f>
        <v>0</v>
      </c>
      <c r="D297" s="381"/>
      <c r="E297" s="381"/>
      <c r="K297" s="20"/>
      <c r="M297" s="394"/>
    </row>
    <row r="298" spans="2:15" ht="13" x14ac:dyDescent="0.3">
      <c r="H298" s="392"/>
      <c r="I298" s="392"/>
      <c r="J298" s="392"/>
      <c r="K298" s="20"/>
      <c r="M298" s="610"/>
    </row>
    <row r="299" spans="2:15" x14ac:dyDescent="0.25">
      <c r="K299" s="20"/>
      <c r="M299" s="610"/>
    </row>
    <row r="300" spans="2:15" ht="13" x14ac:dyDescent="0.3">
      <c r="B300" s="902" t="s">
        <v>237</v>
      </c>
      <c r="C300" s="903"/>
      <c r="D300" s="903"/>
      <c r="E300" s="903"/>
      <c r="F300" s="904"/>
      <c r="G300" s="904"/>
      <c r="H300" s="904"/>
      <c r="I300" s="904"/>
      <c r="J300" s="904"/>
      <c r="K300" s="904"/>
      <c r="L300" s="904"/>
      <c r="M300" s="905"/>
      <c r="N300" s="904"/>
    </row>
    <row r="301" spans="2:15" x14ac:dyDescent="0.25">
      <c r="K301" s="20"/>
      <c r="M301" s="610"/>
    </row>
    <row r="302" spans="2:15" ht="13" x14ac:dyDescent="0.3">
      <c r="B302" s="18" t="s">
        <v>362</v>
      </c>
      <c r="F302" s="895">
        <v>2018</v>
      </c>
      <c r="K302" s="20"/>
      <c r="M302" s="610"/>
    </row>
    <row r="303" spans="2:15" x14ac:dyDescent="0.25">
      <c r="K303" s="20"/>
      <c r="L303" s="610"/>
    </row>
    <row r="304" spans="2:15" ht="82.5" customHeight="1" x14ac:dyDescent="0.25">
      <c r="B304" s="1060" t="s">
        <v>363</v>
      </c>
      <c r="C304" s="1061"/>
      <c r="D304" s="1061"/>
      <c r="E304" s="1062"/>
      <c r="F304" s="599"/>
      <c r="G304" s="675" t="str">
        <f>"Nog af te bouwen regulatoir saldo einde "&amp;F302-1</f>
        <v>Nog af te bouwen regulatoir saldo einde 2017</v>
      </c>
      <c r="H304" s="675" t="str">
        <f>"Afbouw oudste openstaande regulatoir saldo vanaf boekjaar "&amp;F302-2&amp;" en vroeger, door aanwending van compensatie met regulatoir saldo ontstaan over boekjaar "&amp;F302-1</f>
        <v>Afbouw oudste openstaande regulatoir saldo vanaf boekjaar 2016 en vroeger, door aanwending van compensatie met regulatoir saldo ontstaan over boekjaar 2017</v>
      </c>
      <c r="I304" s="675" t="str">
        <f>"Nog af te bouwen regulatoir saldo na compensatie einde "&amp;F302-1</f>
        <v>Nog af te bouwen regulatoir saldo na compensatie einde 2017</v>
      </c>
      <c r="J304" s="675" t="str">
        <f>"Aanwending van 50% van het geaccumuleerd regulatoir saldo door te rekenen volgens de tariefmethodologie in het boekjaar "&amp;F302</f>
        <v>Aanwending van 50% van het geaccumuleerd regulatoir saldo door te rekenen volgens de tariefmethodologie in het boekjaar 2018</v>
      </c>
      <c r="K304" s="675" t="str">
        <f>"Nog af te bouwen regulatoir saldo einde "&amp;F302</f>
        <v>Nog af te bouwen regulatoir saldo einde 2018</v>
      </c>
      <c r="L304" s="610"/>
    </row>
    <row r="305" spans="2:15" ht="13" x14ac:dyDescent="0.25">
      <c r="B305" s="1057">
        <v>2017</v>
      </c>
      <c r="C305" s="1058"/>
      <c r="D305" s="1058"/>
      <c r="E305" s="1059"/>
      <c r="F305" s="896"/>
      <c r="G305" s="839">
        <f>G110</f>
        <v>0</v>
      </c>
      <c r="H305" s="897">
        <v>0</v>
      </c>
      <c r="I305" s="839">
        <f>+G305+H305</f>
        <v>0</v>
      </c>
      <c r="J305" s="839">
        <f>-I305*0.5</f>
        <v>0</v>
      </c>
      <c r="K305" s="908">
        <f>+J305+G305</f>
        <v>0</v>
      </c>
      <c r="L305" s="610"/>
    </row>
    <row r="306" spans="2:15" x14ac:dyDescent="0.25">
      <c r="K306" s="20"/>
      <c r="L306" s="610"/>
    </row>
    <row r="307" spans="2:15" ht="13" x14ac:dyDescent="0.3">
      <c r="B307" s="18" t="s">
        <v>362</v>
      </c>
      <c r="F307" s="895">
        <v>2019</v>
      </c>
      <c r="K307" s="20"/>
      <c r="M307" s="610"/>
    </row>
    <row r="308" spans="2:15" x14ac:dyDescent="0.25">
      <c r="K308" s="20"/>
      <c r="M308" s="610"/>
    </row>
    <row r="309" spans="2:15" ht="84" customHeight="1" x14ac:dyDescent="0.25">
      <c r="B309" s="1060" t="s">
        <v>363</v>
      </c>
      <c r="C309" s="1061"/>
      <c r="D309" s="1061"/>
      <c r="E309" s="1062"/>
      <c r="F309" s="599"/>
      <c r="G309" s="675" t="str">
        <f>"Nog af te bouwen regulatoir saldo einde "&amp;F307-1</f>
        <v>Nog af te bouwen regulatoir saldo einde 2018</v>
      </c>
      <c r="H309" s="675" t="str">
        <f>"Afbouw oudste openstaande regulatoir saldo vanaf boekjaar "&amp;F307-2&amp;" en vroeger, door aanwending van compensatie met regulatoir saldo ontstaan over boekjaar "&amp;F307-1</f>
        <v>Afbouw oudste openstaande regulatoir saldo vanaf boekjaar 2017 en vroeger, door aanwending van compensatie met regulatoir saldo ontstaan over boekjaar 2018</v>
      </c>
      <c r="I309" s="675" t="str">
        <f>"Nog af te bouwen regulatoir saldo na compensatie einde "&amp;F307-1</f>
        <v>Nog af te bouwen regulatoir saldo na compensatie einde 2018</v>
      </c>
      <c r="J309" s="675" t="str">
        <f>"Aanwending van 50% van het geaccumuleerd regulatoir saldo door te rekenen volgens de tariefmethodologie in het boekjaar "&amp;F307</f>
        <v>Aanwending van 50% van het geaccumuleerd regulatoir saldo door te rekenen volgens de tariefmethodologie in het boekjaar 2019</v>
      </c>
      <c r="K309" s="675" t="str">
        <f>"Aanwending van 50% van het geaccumuleerd regulatoir saldo door te rekenen volgens de tariefmethodologie in het boekjaar "&amp;F307</f>
        <v>Aanwending van 50% van het geaccumuleerd regulatoir saldo door te rekenen volgens de tariefmethodologie in het boekjaar 2019</v>
      </c>
      <c r="L309" s="675" t="str">
        <f>"Totale afbouw over "&amp;F307</f>
        <v>Totale afbouw over 2019</v>
      </c>
      <c r="N309" s="675" t="str">
        <f>"Nog af te bouwen regulatoir saldo einde "&amp;F307</f>
        <v>Nog af te bouwen regulatoir saldo einde 2019</v>
      </c>
      <c r="O309" s="610"/>
    </row>
    <row r="310" spans="2:15" ht="13" x14ac:dyDescent="0.25">
      <c r="B310" s="1057">
        <v>2017</v>
      </c>
      <c r="C310" s="1058"/>
      <c r="D310" s="1058"/>
      <c r="E310" s="1059"/>
      <c r="F310" s="896"/>
      <c r="G310" s="839">
        <f>K305</f>
        <v>0</v>
      </c>
      <c r="H310" s="897">
        <f>IF(SIGN(G311*K305)&lt;0,IF(G310&lt;&gt;0,-SIGN(G310)*MIN(ABS(G311),ABS(G310)),0),0)</f>
        <v>0</v>
      </c>
      <c r="I310" s="839">
        <f>+G310+H310</f>
        <v>0</v>
      </c>
      <c r="J310" s="698"/>
      <c r="K310" s="897">
        <f>-MIN(ABS(I310),ABS(J312))*SIGN(I310)</f>
        <v>0</v>
      </c>
      <c r="L310" s="898">
        <f>+K310+H310</f>
        <v>0</v>
      </c>
      <c r="N310" s="839">
        <f>+I310+K310</f>
        <v>0</v>
      </c>
      <c r="O310" s="610"/>
    </row>
    <row r="311" spans="2:15" ht="13" x14ac:dyDescent="0.25">
      <c r="B311" s="1057">
        <v>2018</v>
      </c>
      <c r="C311" s="1058"/>
      <c r="D311" s="1058"/>
      <c r="E311" s="1059"/>
      <c r="F311" s="896"/>
      <c r="G311" s="839">
        <f>H111</f>
        <v>0</v>
      </c>
      <c r="H311" s="898">
        <f>IF(SIGN(G311*K305)&lt;0,-H310,0)</f>
        <v>0</v>
      </c>
      <c r="I311" s="839">
        <f>+G311+H311</f>
        <v>0</v>
      </c>
      <c r="J311" s="698"/>
      <c r="K311" s="897">
        <f>-MIN(ABS(I311),ABS(J312-K310))*SIGN(I311)</f>
        <v>0</v>
      </c>
      <c r="L311" s="898">
        <f>+K311+H311</f>
        <v>0</v>
      </c>
      <c r="N311" s="839">
        <f>+I311+K311</f>
        <v>0</v>
      </c>
      <c r="O311" s="610"/>
    </row>
    <row r="312" spans="2:15" s="18" customFormat="1" ht="13" x14ac:dyDescent="0.3">
      <c r="G312" s="899">
        <f>SUM(G310:G311)</f>
        <v>0</v>
      </c>
      <c r="H312" s="899">
        <f>SUM(H310:H311)</f>
        <v>0</v>
      </c>
      <c r="I312" s="899">
        <f>SUM(I310:I311)</f>
        <v>0</v>
      </c>
      <c r="J312" s="899">
        <f>-I312*0.5</f>
        <v>0</v>
      </c>
      <c r="K312" s="900">
        <f>SUM(K310:K311)</f>
        <v>0</v>
      </c>
      <c r="L312" s="901"/>
      <c r="N312" s="899">
        <f>SUM(N310:N311)</f>
        <v>0</v>
      </c>
    </row>
    <row r="313" spans="2:15" x14ac:dyDescent="0.25">
      <c r="K313" s="20"/>
      <c r="M313" s="610"/>
    </row>
    <row r="314" spans="2:15" ht="13" x14ac:dyDescent="0.3">
      <c r="B314" s="18" t="s">
        <v>362</v>
      </c>
      <c r="F314" s="895">
        <v>2020</v>
      </c>
      <c r="K314" s="20"/>
    </row>
    <row r="315" spans="2:15" x14ac:dyDescent="0.25">
      <c r="K315" s="20"/>
    </row>
    <row r="316" spans="2:15" ht="94.5" customHeight="1" x14ac:dyDescent="0.25">
      <c r="B316" s="1060" t="s">
        <v>363</v>
      </c>
      <c r="C316" s="1061"/>
      <c r="D316" s="1061"/>
      <c r="E316" s="1062"/>
      <c r="F316" s="599"/>
      <c r="G316" s="675" t="str">
        <f>"Nog af te bouwen regulatoir saldo einde "&amp;F314-1</f>
        <v>Nog af te bouwen regulatoir saldo einde 2019</v>
      </c>
      <c r="H316" s="675" t="str">
        <f>"Afbouw oudste openstaande regulatoir saldo vanaf boekjaar "&amp;F314-32&amp;" en vroeger, door aanwending van compensatie met regulatoir saldo ontstaan over boekjaar "&amp;F314-1</f>
        <v>Afbouw oudste openstaande regulatoir saldo vanaf boekjaar 1988 en vroeger, door aanwending van compensatie met regulatoir saldo ontstaan over boekjaar 2019</v>
      </c>
      <c r="I316" s="675" t="str">
        <f>"Nog af te bouwen regulatoir saldo na compensatie einde "&amp;F314-1</f>
        <v>Nog af te bouwen regulatoir saldo na compensatie einde 2019</v>
      </c>
      <c r="J316" s="675" t="str">
        <f>"Aanwending van 50% van het geaccumuleerd regulatoir saldo door te rekenen volgens de tariefmethodologie in het boekjaar "&amp;F314</f>
        <v>Aanwending van 50% van het geaccumuleerd regulatoir saldo door te rekenen volgens de tariefmethodologie in het boekjaar 2020</v>
      </c>
      <c r="K316" s="675" t="str">
        <f>"Aanwending van 50% van het geaccumuleerd regulatoir saldo door te rekenen volgens de tariefmethodologie in het boekjaar "&amp;F314</f>
        <v>Aanwending van 50% van het geaccumuleerd regulatoir saldo door te rekenen volgens de tariefmethodologie in het boekjaar 2020</v>
      </c>
      <c r="L316" s="675" t="str">
        <f>"Totale afbouw over "&amp;F314</f>
        <v>Totale afbouw over 2020</v>
      </c>
      <c r="N316" s="675" t="str">
        <f>"Nog af te bouwen regulatoir saldo einde "&amp;F314</f>
        <v>Nog af te bouwen regulatoir saldo einde 2020</v>
      </c>
      <c r="O316" s="610"/>
    </row>
    <row r="317" spans="2:15" ht="13" x14ac:dyDescent="0.25">
      <c r="B317" s="1057">
        <v>2017</v>
      </c>
      <c r="C317" s="1058"/>
      <c r="D317" s="1058"/>
      <c r="E317" s="1059"/>
      <c r="F317" s="896"/>
      <c r="G317" s="839">
        <f>+N310</f>
        <v>0</v>
      </c>
      <c r="H317" s="898">
        <f>IF(SIGN(G319*N312)&lt;0,IF(G317&lt;&gt;0,-SIGN(G317)*MIN(ABS(G319),ABS(G317)),0),0)</f>
        <v>0</v>
      </c>
      <c r="I317" s="839">
        <f>+G317+H317</f>
        <v>0</v>
      </c>
      <c r="J317" s="698"/>
      <c r="K317" s="897">
        <f>-MIN(ABS(I317),ABS(J320))*SIGN(I317)</f>
        <v>0</v>
      </c>
      <c r="L317" s="898">
        <f>+K317+H317</f>
        <v>0</v>
      </c>
      <c r="N317" s="839">
        <f>+I317+K317</f>
        <v>0</v>
      </c>
      <c r="O317" s="610"/>
    </row>
    <row r="318" spans="2:15" ht="13" x14ac:dyDescent="0.25">
      <c r="B318" s="1057">
        <v>2018</v>
      </c>
      <c r="C318" s="1058"/>
      <c r="D318" s="1058">
        <v>2016</v>
      </c>
      <c r="E318" s="1059"/>
      <c r="F318" s="896"/>
      <c r="G318" s="839">
        <f>+N311</f>
        <v>0</v>
      </c>
      <c r="H318" s="898">
        <f>IF(SIGN(G319*N312)&lt;0,IF(G318&lt;&gt;0,-SIGN(G318)*MIN(ABS(G319-H317),ABS(G318)),0),0)</f>
        <v>0</v>
      </c>
      <c r="I318" s="839">
        <f>+G318+H318</f>
        <v>0</v>
      </c>
      <c r="J318" s="698"/>
      <c r="K318" s="897">
        <f>-MIN(ABS(I318),ABS(J320-K317))*SIGN(I318)</f>
        <v>0</v>
      </c>
      <c r="L318" s="898">
        <f>+K318+H318</f>
        <v>0</v>
      </c>
      <c r="N318" s="839">
        <f>+I318+K318</f>
        <v>0</v>
      </c>
      <c r="O318" s="610"/>
    </row>
    <row r="319" spans="2:15" ht="13" x14ac:dyDescent="0.25">
      <c r="B319" s="1057">
        <v>2019</v>
      </c>
      <c r="C319" s="1058"/>
      <c r="D319" s="1058"/>
      <c r="E319" s="1059"/>
      <c r="F319" s="896"/>
      <c r="G319" s="839">
        <f>I112</f>
        <v>0</v>
      </c>
      <c r="H319" s="898">
        <f>IF(SIGN(G319*N312)&lt;0,-SUM(H317:H318),0)</f>
        <v>0</v>
      </c>
      <c r="I319" s="839">
        <f>+G319+H319</f>
        <v>0</v>
      </c>
      <c r="J319" s="698"/>
      <c r="K319" s="897">
        <f>-MIN(ABS(I319),ABS(J320-K317-K318))*SIGN(I319)</f>
        <v>0</v>
      </c>
      <c r="L319" s="898">
        <f>+K319+H319</f>
        <v>0</v>
      </c>
      <c r="N319" s="839">
        <f>+I319+K319</f>
        <v>0</v>
      </c>
      <c r="O319" s="610"/>
    </row>
    <row r="320" spans="2:15" s="18" customFormat="1" ht="13" x14ac:dyDescent="0.3">
      <c r="G320" s="899">
        <f>SUM(G317:G319)</f>
        <v>0</v>
      </c>
      <c r="H320" s="899">
        <f>SUM(H317:H319)</f>
        <v>0</v>
      </c>
      <c r="I320" s="899">
        <f>SUM(I317:I319)</f>
        <v>0</v>
      </c>
      <c r="J320" s="899">
        <f>-I320*0.5</f>
        <v>0</v>
      </c>
      <c r="K320" s="900">
        <f>SUM(K317:K319)</f>
        <v>0</v>
      </c>
      <c r="L320" s="901"/>
      <c r="N320" s="899">
        <f>SUM(N317:N319)</f>
        <v>0</v>
      </c>
    </row>
    <row r="321" spans="2:14" x14ac:dyDescent="0.25">
      <c r="K321" s="20"/>
      <c r="M321" s="394"/>
    </row>
    <row r="322" spans="2:14" x14ac:dyDescent="0.25">
      <c r="K322" s="20"/>
      <c r="M322" s="394"/>
    </row>
    <row r="323" spans="2:14" ht="13" x14ac:dyDescent="0.3">
      <c r="B323" s="18" t="s">
        <v>364</v>
      </c>
      <c r="C323" s="381"/>
      <c r="D323" s="381"/>
      <c r="E323" s="381"/>
      <c r="K323" s="20"/>
      <c r="M323" s="394"/>
    </row>
    <row r="324" spans="2:14" ht="13" x14ac:dyDescent="0.3">
      <c r="B324" s="18"/>
      <c r="C324" s="381"/>
      <c r="D324" s="381"/>
      <c r="E324" s="381"/>
      <c r="K324" s="20"/>
      <c r="M324" s="394"/>
    </row>
    <row r="325" spans="2:14" ht="13" x14ac:dyDescent="0.3">
      <c r="B325" s="864">
        <f>F302</f>
        <v>2018</v>
      </c>
      <c r="C325" s="906">
        <f>J305</f>
        <v>0</v>
      </c>
      <c r="D325" s="381"/>
      <c r="E325" s="381"/>
      <c r="K325" s="20"/>
      <c r="M325" s="394"/>
    </row>
    <row r="326" spans="2:14" ht="13" x14ac:dyDescent="0.3">
      <c r="B326" s="864">
        <f>F307</f>
        <v>2019</v>
      </c>
      <c r="C326" s="906">
        <f>K312</f>
        <v>0</v>
      </c>
      <c r="D326" s="381"/>
      <c r="E326" s="381"/>
      <c r="K326" s="20"/>
      <c r="M326" s="394"/>
    </row>
    <row r="327" spans="2:14" ht="13" x14ac:dyDescent="0.3">
      <c r="B327" s="864">
        <f>F314</f>
        <v>2020</v>
      </c>
      <c r="C327" s="906">
        <f>K320</f>
        <v>0</v>
      </c>
      <c r="D327" s="381"/>
      <c r="E327" s="381"/>
      <c r="K327" s="20"/>
      <c r="M327" s="394"/>
    </row>
    <row r="328" spans="2:14" ht="13" x14ac:dyDescent="0.3">
      <c r="H328" s="392"/>
      <c r="I328" s="392"/>
      <c r="J328" s="392"/>
      <c r="K328" s="20"/>
      <c r="M328" s="610"/>
    </row>
    <row r="329" spans="2:14" x14ac:dyDescent="0.25">
      <c r="K329" s="20"/>
      <c r="M329" s="610"/>
    </row>
    <row r="330" spans="2:14" ht="13" x14ac:dyDescent="0.3">
      <c r="B330" s="902" t="s">
        <v>287</v>
      </c>
      <c r="C330" s="903"/>
      <c r="D330" s="903"/>
      <c r="E330" s="903"/>
      <c r="F330" s="904"/>
      <c r="G330" s="904"/>
      <c r="H330" s="904"/>
      <c r="I330" s="904"/>
      <c r="J330" s="904"/>
      <c r="K330" s="904"/>
      <c r="L330" s="904"/>
      <c r="M330" s="905"/>
      <c r="N330" s="904"/>
    </row>
    <row r="331" spans="2:14" x14ac:dyDescent="0.25">
      <c r="K331" s="20"/>
      <c r="M331" s="610"/>
    </row>
    <row r="332" spans="2:14" ht="13" x14ac:dyDescent="0.3">
      <c r="B332" s="18" t="s">
        <v>362</v>
      </c>
      <c r="F332" s="895">
        <v>2018</v>
      </c>
      <c r="K332" s="20"/>
      <c r="M332" s="610"/>
    </row>
    <row r="333" spans="2:14" x14ac:dyDescent="0.25">
      <c r="K333" s="20"/>
      <c r="L333" s="610"/>
    </row>
    <row r="334" spans="2:14" ht="82.5" customHeight="1" x14ac:dyDescent="0.25">
      <c r="B334" s="1060" t="s">
        <v>363</v>
      </c>
      <c r="C334" s="1061"/>
      <c r="D334" s="1061"/>
      <c r="E334" s="1062"/>
      <c r="F334" s="599"/>
      <c r="G334" s="675" t="str">
        <f>"Nog af te bouwen regulatoir saldo einde "&amp;F332-1</f>
        <v>Nog af te bouwen regulatoir saldo einde 2017</v>
      </c>
      <c r="H334" s="675" t="str">
        <f>"Afbouw oudste openstaande regulatoir saldo vanaf boekjaar "&amp;F332-2&amp;" en vroeger, door aanwending van compensatie met regulatoir saldo ontstaan over boekjaar "&amp;F332-1</f>
        <v>Afbouw oudste openstaande regulatoir saldo vanaf boekjaar 2016 en vroeger, door aanwending van compensatie met regulatoir saldo ontstaan over boekjaar 2017</v>
      </c>
      <c r="I334" s="675" t="str">
        <f>"Nog af te bouwen regulatoir saldo na compensatie einde "&amp;F332-1</f>
        <v>Nog af te bouwen regulatoir saldo na compensatie einde 2017</v>
      </c>
      <c r="J334" s="675" t="str">
        <f>"Aanwending van 50% van het geaccumuleerd regulatoir saldo door te rekenen volgens de tariefmethodologie in het boekjaar "&amp;F332</f>
        <v>Aanwending van 50% van het geaccumuleerd regulatoir saldo door te rekenen volgens de tariefmethodologie in het boekjaar 2018</v>
      </c>
      <c r="K334" s="675" t="str">
        <f>"Nog af te bouwen regulatoir saldo einde "&amp;F332</f>
        <v>Nog af te bouwen regulatoir saldo einde 2018</v>
      </c>
      <c r="L334" s="610"/>
    </row>
    <row r="335" spans="2:14" ht="13" x14ac:dyDescent="0.25">
      <c r="B335" s="1057">
        <v>2017</v>
      </c>
      <c r="C335" s="1058"/>
      <c r="D335" s="1058"/>
      <c r="E335" s="1059"/>
      <c r="F335" s="896"/>
      <c r="G335" s="839">
        <f>G115</f>
        <v>0</v>
      </c>
      <c r="H335" s="897">
        <v>0</v>
      </c>
      <c r="I335" s="839">
        <f>+G335+H335</f>
        <v>0</v>
      </c>
      <c r="J335" s="839">
        <f>-I335*0.5</f>
        <v>0</v>
      </c>
      <c r="K335" s="908">
        <f>+J335+G335</f>
        <v>0</v>
      </c>
      <c r="L335" s="610"/>
    </row>
    <row r="336" spans="2:14" x14ac:dyDescent="0.25">
      <c r="K336" s="20"/>
      <c r="L336" s="610"/>
    </row>
    <row r="337" spans="2:15" ht="13" x14ac:dyDescent="0.3">
      <c r="B337" s="18" t="s">
        <v>362</v>
      </c>
      <c r="F337" s="895">
        <v>2019</v>
      </c>
      <c r="K337" s="20"/>
      <c r="M337" s="610"/>
    </row>
    <row r="338" spans="2:15" x14ac:dyDescent="0.25">
      <c r="K338" s="20"/>
      <c r="M338" s="610"/>
    </row>
    <row r="339" spans="2:15" ht="84" customHeight="1" x14ac:dyDescent="0.25">
      <c r="B339" s="1060" t="s">
        <v>363</v>
      </c>
      <c r="C339" s="1061"/>
      <c r="D339" s="1061"/>
      <c r="E339" s="1062"/>
      <c r="F339" s="599"/>
      <c r="G339" s="675" t="str">
        <f>"Nog af te bouwen regulatoir saldo einde "&amp;F337-1</f>
        <v>Nog af te bouwen regulatoir saldo einde 2018</v>
      </c>
      <c r="H339" s="675" t="str">
        <f>"Afbouw oudste openstaande regulatoir saldo vanaf boekjaar "&amp;F337-2&amp;" en vroeger, door aanwending van compensatie met regulatoir saldo ontstaan over boekjaar "&amp;F337-1</f>
        <v>Afbouw oudste openstaande regulatoir saldo vanaf boekjaar 2017 en vroeger, door aanwending van compensatie met regulatoir saldo ontstaan over boekjaar 2018</v>
      </c>
      <c r="I339" s="675" t="str">
        <f>"Nog af te bouwen regulatoir saldo na compensatie einde "&amp;F337-1</f>
        <v>Nog af te bouwen regulatoir saldo na compensatie einde 2018</v>
      </c>
      <c r="J339" s="675" t="str">
        <f>"Aanwending van 50% van het geaccumuleerd regulatoir saldo door te rekenen volgens de tariefmethodologie in het boekjaar "&amp;F337</f>
        <v>Aanwending van 50% van het geaccumuleerd regulatoir saldo door te rekenen volgens de tariefmethodologie in het boekjaar 2019</v>
      </c>
      <c r="K339" s="675" t="str">
        <f>"Aanwending van 50% van het geaccumuleerd regulatoir saldo door te rekenen volgens de tariefmethodologie in het boekjaar "&amp;F337</f>
        <v>Aanwending van 50% van het geaccumuleerd regulatoir saldo door te rekenen volgens de tariefmethodologie in het boekjaar 2019</v>
      </c>
      <c r="L339" s="675" t="str">
        <f>"Totale afbouw over "&amp;F337</f>
        <v>Totale afbouw over 2019</v>
      </c>
      <c r="N339" s="675" t="str">
        <f>"Nog af te bouwen regulatoir saldo einde "&amp;F337</f>
        <v>Nog af te bouwen regulatoir saldo einde 2019</v>
      </c>
      <c r="O339" s="610"/>
    </row>
    <row r="340" spans="2:15" ht="13" x14ac:dyDescent="0.25">
      <c r="B340" s="1057">
        <v>2017</v>
      </c>
      <c r="C340" s="1058"/>
      <c r="D340" s="1058"/>
      <c r="E340" s="1059"/>
      <c r="F340" s="896"/>
      <c r="G340" s="839">
        <f>K335</f>
        <v>0</v>
      </c>
      <c r="H340" s="897">
        <f>IF(SIGN(G341*K335)&lt;0,IF(G340&lt;&gt;0,-SIGN(G340)*MIN(ABS(G341),ABS(G340)),0),0)</f>
        <v>0</v>
      </c>
      <c r="I340" s="839">
        <f>+G340+H340</f>
        <v>0</v>
      </c>
      <c r="J340" s="698"/>
      <c r="K340" s="897">
        <f>-MIN(ABS(I340),ABS(J342))*SIGN(I340)</f>
        <v>0</v>
      </c>
      <c r="L340" s="898">
        <f>+K340+H340</f>
        <v>0</v>
      </c>
      <c r="N340" s="839">
        <f>+I340+K340</f>
        <v>0</v>
      </c>
      <c r="O340" s="610"/>
    </row>
    <row r="341" spans="2:15" ht="13" x14ac:dyDescent="0.25">
      <c r="B341" s="1057">
        <v>2018</v>
      </c>
      <c r="C341" s="1058"/>
      <c r="D341" s="1058"/>
      <c r="E341" s="1059"/>
      <c r="F341" s="896"/>
      <c r="G341" s="839">
        <f>H116</f>
        <v>0</v>
      </c>
      <c r="H341" s="898">
        <f>IF(SIGN(G341*K335)&lt;0,-H340,0)</f>
        <v>0</v>
      </c>
      <c r="I341" s="839">
        <f>+G341+H341</f>
        <v>0</v>
      </c>
      <c r="J341" s="698"/>
      <c r="K341" s="897">
        <f>-MIN(ABS(I341),ABS(J342-K340))*SIGN(I341)</f>
        <v>0</v>
      </c>
      <c r="L341" s="898">
        <f>+K341+H341</f>
        <v>0</v>
      </c>
      <c r="N341" s="839">
        <f>+I341+K341</f>
        <v>0</v>
      </c>
      <c r="O341" s="610"/>
    </row>
    <row r="342" spans="2:15" s="18" customFormat="1" ht="13" x14ac:dyDescent="0.3">
      <c r="G342" s="899">
        <f>SUM(G340:G341)</f>
        <v>0</v>
      </c>
      <c r="H342" s="899">
        <f>SUM(H340:H341)</f>
        <v>0</v>
      </c>
      <c r="I342" s="899">
        <f>SUM(I340:I341)</f>
        <v>0</v>
      </c>
      <c r="J342" s="899">
        <f>-I342*0.5</f>
        <v>0</v>
      </c>
      <c r="K342" s="900">
        <f>SUM(K340:K341)</f>
        <v>0</v>
      </c>
      <c r="L342" s="901"/>
      <c r="N342" s="899">
        <f>SUM(N340:N341)</f>
        <v>0</v>
      </c>
    </row>
    <row r="343" spans="2:15" x14ac:dyDescent="0.25">
      <c r="K343" s="20"/>
      <c r="M343" s="610"/>
    </row>
    <row r="344" spans="2:15" ht="13" x14ac:dyDescent="0.3">
      <c r="B344" s="18" t="s">
        <v>362</v>
      </c>
      <c r="F344" s="895">
        <v>2020</v>
      </c>
      <c r="K344" s="20"/>
    </row>
    <row r="345" spans="2:15" x14ac:dyDescent="0.25">
      <c r="K345" s="20"/>
    </row>
    <row r="346" spans="2:15" ht="94.5" customHeight="1" x14ac:dyDescent="0.25">
      <c r="B346" s="1060" t="s">
        <v>363</v>
      </c>
      <c r="C346" s="1061"/>
      <c r="D346" s="1061"/>
      <c r="E346" s="1062"/>
      <c r="F346" s="599"/>
      <c r="G346" s="675" t="str">
        <f>"Nog af te bouwen regulatoir saldo einde "&amp;F344-1</f>
        <v>Nog af te bouwen regulatoir saldo einde 2019</v>
      </c>
      <c r="H346" s="675" t="str">
        <f>"Afbouw oudste openstaande regulatoir saldo vanaf boekjaar "&amp;F344-32&amp;" en vroeger, door aanwending van compensatie met regulatoir saldo ontstaan over boekjaar "&amp;F344-1</f>
        <v>Afbouw oudste openstaande regulatoir saldo vanaf boekjaar 1988 en vroeger, door aanwending van compensatie met regulatoir saldo ontstaan over boekjaar 2019</v>
      </c>
      <c r="I346" s="675" t="str">
        <f>"Nog af te bouwen regulatoir saldo na compensatie einde "&amp;F344-1</f>
        <v>Nog af te bouwen regulatoir saldo na compensatie einde 2019</v>
      </c>
      <c r="J346" s="675" t="str">
        <f>"Aanwending van 50% van het geaccumuleerd regulatoir saldo door te rekenen volgens de tariefmethodologie in het boekjaar "&amp;F344</f>
        <v>Aanwending van 50% van het geaccumuleerd regulatoir saldo door te rekenen volgens de tariefmethodologie in het boekjaar 2020</v>
      </c>
      <c r="K346" s="675" t="str">
        <f>"Aanwending van 50% van het geaccumuleerd regulatoir saldo door te rekenen volgens de tariefmethodologie in het boekjaar "&amp;F344</f>
        <v>Aanwending van 50% van het geaccumuleerd regulatoir saldo door te rekenen volgens de tariefmethodologie in het boekjaar 2020</v>
      </c>
      <c r="L346" s="675" t="str">
        <f>"Totale afbouw over "&amp;F344</f>
        <v>Totale afbouw over 2020</v>
      </c>
      <c r="N346" s="675" t="str">
        <f>"Nog af te bouwen regulatoir saldo einde "&amp;F344</f>
        <v>Nog af te bouwen regulatoir saldo einde 2020</v>
      </c>
      <c r="O346" s="610"/>
    </row>
    <row r="347" spans="2:15" ht="13" x14ac:dyDescent="0.25">
      <c r="B347" s="1057">
        <v>2017</v>
      </c>
      <c r="C347" s="1058"/>
      <c r="D347" s="1058"/>
      <c r="E347" s="1059"/>
      <c r="F347" s="896"/>
      <c r="G347" s="839">
        <f>+N340</f>
        <v>0</v>
      </c>
      <c r="H347" s="898">
        <f>IF(SIGN(G349*N342)&lt;0,IF(G347&lt;&gt;0,-SIGN(G347)*MIN(ABS(G349),ABS(G347)),0),0)</f>
        <v>0</v>
      </c>
      <c r="I347" s="839">
        <f>+G347+H347</f>
        <v>0</v>
      </c>
      <c r="J347" s="698"/>
      <c r="K347" s="897">
        <f>-MIN(ABS(I347),ABS(J350))*SIGN(I347)</f>
        <v>0</v>
      </c>
      <c r="L347" s="898">
        <f>+K347+H347</f>
        <v>0</v>
      </c>
      <c r="N347" s="839">
        <f>+I347+K347</f>
        <v>0</v>
      </c>
      <c r="O347" s="610"/>
    </row>
    <row r="348" spans="2:15" ht="13" x14ac:dyDescent="0.25">
      <c r="B348" s="1057">
        <v>2018</v>
      </c>
      <c r="C348" s="1058"/>
      <c r="D348" s="1058">
        <v>2016</v>
      </c>
      <c r="E348" s="1059"/>
      <c r="F348" s="896"/>
      <c r="G348" s="839">
        <f>+N341</f>
        <v>0</v>
      </c>
      <c r="H348" s="898">
        <f>IF(SIGN(G349*N342)&lt;0,IF(G348&lt;&gt;0,-SIGN(G348)*MIN(ABS(G349-H347),ABS(G348)),0),0)</f>
        <v>0</v>
      </c>
      <c r="I348" s="839">
        <f>+G348+H348</f>
        <v>0</v>
      </c>
      <c r="J348" s="698"/>
      <c r="K348" s="897">
        <f>-MIN(ABS(I348),ABS(J350-K347))*SIGN(I348)</f>
        <v>0</v>
      </c>
      <c r="L348" s="898">
        <f>+K348+H348</f>
        <v>0</v>
      </c>
      <c r="N348" s="839">
        <f>+I348+K348</f>
        <v>0</v>
      </c>
      <c r="O348" s="610"/>
    </row>
    <row r="349" spans="2:15" ht="13" x14ac:dyDescent="0.25">
      <c r="B349" s="1057">
        <v>2019</v>
      </c>
      <c r="C349" s="1058"/>
      <c r="D349" s="1058"/>
      <c r="E349" s="1059"/>
      <c r="F349" s="896"/>
      <c r="G349" s="839">
        <f>I117</f>
        <v>0</v>
      </c>
      <c r="H349" s="898">
        <f>IF(SIGN(G349*N342)&lt;0,-SUM(H347:H348),0)</f>
        <v>0</v>
      </c>
      <c r="I349" s="839">
        <f>+G349+H349</f>
        <v>0</v>
      </c>
      <c r="J349" s="698"/>
      <c r="K349" s="897">
        <f>-MIN(ABS(I349),ABS(J350-K347-K348))*SIGN(I349)</f>
        <v>0</v>
      </c>
      <c r="L349" s="898">
        <f>+K349+H349</f>
        <v>0</v>
      </c>
      <c r="N349" s="839">
        <f>+I349+K349</f>
        <v>0</v>
      </c>
      <c r="O349" s="610"/>
    </row>
    <row r="350" spans="2:15" s="18" customFormat="1" ht="13" x14ac:dyDescent="0.3">
      <c r="G350" s="899">
        <f>SUM(G347:G349)</f>
        <v>0</v>
      </c>
      <c r="H350" s="899">
        <f>SUM(H347:H349)</f>
        <v>0</v>
      </c>
      <c r="I350" s="899">
        <f>SUM(I347:I349)</f>
        <v>0</v>
      </c>
      <c r="J350" s="899">
        <f>-I350*0.5</f>
        <v>0</v>
      </c>
      <c r="K350" s="900">
        <f>SUM(K347:K349)</f>
        <v>0</v>
      </c>
      <c r="L350" s="901"/>
      <c r="N350" s="899">
        <f>SUM(N347:N349)</f>
        <v>0</v>
      </c>
    </row>
    <row r="351" spans="2:15" x14ac:dyDescent="0.25">
      <c r="K351" s="20"/>
      <c r="M351" s="394"/>
    </row>
    <row r="352" spans="2:15" x14ac:dyDescent="0.25">
      <c r="K352" s="20"/>
      <c r="M352" s="394"/>
    </row>
    <row r="353" spans="2:14" ht="13" x14ac:dyDescent="0.3">
      <c r="B353" s="18" t="s">
        <v>364</v>
      </c>
      <c r="C353" s="381"/>
      <c r="D353" s="381"/>
      <c r="E353" s="381"/>
      <c r="K353" s="20"/>
      <c r="M353" s="394"/>
    </row>
    <row r="354" spans="2:14" ht="13" x14ac:dyDescent="0.3">
      <c r="B354" s="18"/>
      <c r="C354" s="381"/>
      <c r="D354" s="381"/>
      <c r="E354" s="381"/>
      <c r="K354" s="20"/>
      <c r="M354" s="394"/>
    </row>
    <row r="355" spans="2:14" ht="13" x14ac:dyDescent="0.3">
      <c r="B355" s="864">
        <f>F332</f>
        <v>2018</v>
      </c>
      <c r="C355" s="906">
        <f>J335</f>
        <v>0</v>
      </c>
      <c r="D355" s="381"/>
      <c r="E355" s="381"/>
      <c r="K355" s="20"/>
      <c r="M355" s="394"/>
    </row>
    <row r="356" spans="2:14" ht="13" x14ac:dyDescent="0.3">
      <c r="B356" s="864">
        <f>F337</f>
        <v>2019</v>
      </c>
      <c r="C356" s="906">
        <f>K342</f>
        <v>0</v>
      </c>
      <c r="D356" s="381"/>
      <c r="E356" s="381"/>
      <c r="K356" s="20"/>
      <c r="M356" s="394"/>
    </row>
    <row r="357" spans="2:14" ht="13" x14ac:dyDescent="0.3">
      <c r="B357" s="864">
        <f>F344</f>
        <v>2020</v>
      </c>
      <c r="C357" s="906">
        <f>K350</f>
        <v>0</v>
      </c>
      <c r="D357" s="381"/>
      <c r="E357" s="381"/>
      <c r="K357" s="20"/>
      <c r="M357" s="394"/>
    </row>
    <row r="358" spans="2:14" ht="13" x14ac:dyDescent="0.3">
      <c r="H358" s="392"/>
      <c r="I358" s="392"/>
      <c r="J358" s="392"/>
      <c r="K358" s="20"/>
      <c r="M358" s="610"/>
    </row>
    <row r="359" spans="2:14" x14ac:dyDescent="0.25">
      <c r="K359" s="20"/>
      <c r="M359" s="610"/>
    </row>
    <row r="360" spans="2:14" ht="13" x14ac:dyDescent="0.3">
      <c r="B360" s="902" t="s">
        <v>134</v>
      </c>
      <c r="C360" s="903"/>
      <c r="D360" s="903"/>
      <c r="E360" s="903"/>
      <c r="F360" s="904"/>
      <c r="G360" s="904"/>
      <c r="H360" s="904"/>
      <c r="I360" s="904"/>
      <c r="J360" s="904"/>
      <c r="K360" s="904"/>
      <c r="L360" s="904"/>
      <c r="M360" s="905"/>
      <c r="N360" s="904"/>
    </row>
    <row r="361" spans="2:14" x14ac:dyDescent="0.25">
      <c r="K361" s="20"/>
      <c r="M361" s="610"/>
    </row>
    <row r="362" spans="2:14" ht="13" x14ac:dyDescent="0.3">
      <c r="B362" s="18" t="s">
        <v>362</v>
      </c>
      <c r="F362" s="895">
        <v>2018</v>
      </c>
      <c r="K362" s="20"/>
      <c r="M362" s="610"/>
    </row>
    <row r="363" spans="2:14" x14ac:dyDescent="0.25">
      <c r="K363" s="20"/>
      <c r="L363" s="610"/>
    </row>
    <row r="364" spans="2:14" ht="82.5" customHeight="1" x14ac:dyDescent="0.25">
      <c r="B364" s="1060" t="s">
        <v>363</v>
      </c>
      <c r="C364" s="1061"/>
      <c r="D364" s="1061"/>
      <c r="E364" s="1062"/>
      <c r="F364" s="599"/>
      <c r="G364" s="675" t="str">
        <f>"Nog af te bouwen regulatoir saldo einde "&amp;F362-1</f>
        <v>Nog af te bouwen regulatoir saldo einde 2017</v>
      </c>
      <c r="H364" s="675" t="str">
        <f>"Afbouw oudste openstaande regulatoir saldo vanaf boekjaar "&amp;F362-2&amp;" en vroeger, door aanwending van compensatie met regulatoir saldo ontstaan over boekjaar "&amp;F362-1</f>
        <v>Afbouw oudste openstaande regulatoir saldo vanaf boekjaar 2016 en vroeger, door aanwending van compensatie met regulatoir saldo ontstaan over boekjaar 2017</v>
      </c>
      <c r="I364" s="675" t="str">
        <f>"Nog af te bouwen regulatoir saldo na compensatie einde "&amp;F362-1</f>
        <v>Nog af te bouwen regulatoir saldo na compensatie einde 2017</v>
      </c>
      <c r="J364" s="675" t="str">
        <f>"Aanwending van 50% van het geaccumuleerd regulatoir saldo door te rekenen volgens de tariefmethodologie in het boekjaar "&amp;F362</f>
        <v>Aanwending van 50% van het geaccumuleerd regulatoir saldo door te rekenen volgens de tariefmethodologie in het boekjaar 2018</v>
      </c>
      <c r="K364" s="675" t="str">
        <f>"Nog af te bouwen regulatoir saldo einde "&amp;F362</f>
        <v>Nog af te bouwen regulatoir saldo einde 2018</v>
      </c>
      <c r="L364" s="610"/>
    </row>
    <row r="365" spans="2:14" ht="13" x14ac:dyDescent="0.25">
      <c r="B365" s="1057">
        <v>2017</v>
      </c>
      <c r="C365" s="1058"/>
      <c r="D365" s="1058"/>
      <c r="E365" s="1059"/>
      <c r="F365" s="896"/>
      <c r="G365" s="839">
        <f>G120</f>
        <v>0</v>
      </c>
      <c r="H365" s="897">
        <v>0</v>
      </c>
      <c r="I365" s="839">
        <f>+G365+H365</f>
        <v>0</v>
      </c>
      <c r="J365" s="839">
        <f>-I365*0.5</f>
        <v>0</v>
      </c>
      <c r="K365" s="908">
        <f>+J365+G365</f>
        <v>0</v>
      </c>
      <c r="L365" s="610"/>
    </row>
    <row r="366" spans="2:14" x14ac:dyDescent="0.25">
      <c r="K366" s="20"/>
      <c r="L366" s="610"/>
    </row>
    <row r="367" spans="2:14" ht="13" x14ac:dyDescent="0.3">
      <c r="B367" s="18" t="s">
        <v>362</v>
      </c>
      <c r="F367" s="895">
        <v>2019</v>
      </c>
      <c r="K367" s="20"/>
      <c r="M367" s="610"/>
    </row>
    <row r="368" spans="2:14" x14ac:dyDescent="0.25">
      <c r="K368" s="20"/>
      <c r="M368" s="610"/>
    </row>
    <row r="369" spans="2:15" ht="84" customHeight="1" x14ac:dyDescent="0.25">
      <c r="B369" s="1060" t="s">
        <v>363</v>
      </c>
      <c r="C369" s="1061"/>
      <c r="D369" s="1061"/>
      <c r="E369" s="1062"/>
      <c r="F369" s="599"/>
      <c r="G369" s="675" t="str">
        <f>"Nog af te bouwen regulatoir saldo einde "&amp;F367-1</f>
        <v>Nog af te bouwen regulatoir saldo einde 2018</v>
      </c>
      <c r="H369" s="675" t="str">
        <f>"Afbouw oudste openstaande regulatoir saldo vanaf boekjaar "&amp;F367-2&amp;" en vroeger, door aanwending van compensatie met regulatoir saldo ontstaan over boekjaar "&amp;F367-1</f>
        <v>Afbouw oudste openstaande regulatoir saldo vanaf boekjaar 2017 en vroeger, door aanwending van compensatie met regulatoir saldo ontstaan over boekjaar 2018</v>
      </c>
      <c r="I369" s="675" t="str">
        <f>"Nog af te bouwen regulatoir saldo na compensatie einde "&amp;F367-1</f>
        <v>Nog af te bouwen regulatoir saldo na compensatie einde 2018</v>
      </c>
      <c r="J369" s="675" t="str">
        <f>"Aanwending van 50% van het geaccumuleerd regulatoir saldo door te rekenen volgens de tariefmethodologie in het boekjaar "&amp;F367</f>
        <v>Aanwending van 50% van het geaccumuleerd regulatoir saldo door te rekenen volgens de tariefmethodologie in het boekjaar 2019</v>
      </c>
      <c r="K369" s="675" t="str">
        <f>"Aanwending van 50% van het geaccumuleerd regulatoir saldo door te rekenen volgens de tariefmethodologie in het boekjaar "&amp;F367</f>
        <v>Aanwending van 50% van het geaccumuleerd regulatoir saldo door te rekenen volgens de tariefmethodologie in het boekjaar 2019</v>
      </c>
      <c r="L369" s="675" t="str">
        <f>"Totale afbouw over "&amp;F367</f>
        <v>Totale afbouw over 2019</v>
      </c>
      <c r="N369" s="675" t="str">
        <f>"Nog af te bouwen regulatoir saldo einde "&amp;F367</f>
        <v>Nog af te bouwen regulatoir saldo einde 2019</v>
      </c>
      <c r="O369" s="610"/>
    </row>
    <row r="370" spans="2:15" ht="13" x14ac:dyDescent="0.25">
      <c r="B370" s="1057">
        <v>2017</v>
      </c>
      <c r="C370" s="1058"/>
      <c r="D370" s="1058"/>
      <c r="E370" s="1059"/>
      <c r="F370" s="896"/>
      <c r="G370" s="839">
        <f>K365</f>
        <v>0</v>
      </c>
      <c r="H370" s="897">
        <f>IF(SIGN(G371*K365)&lt;0,IF(G370&lt;&gt;0,-SIGN(G370)*MIN(ABS(G371),ABS(G370)),0),0)</f>
        <v>0</v>
      </c>
      <c r="I370" s="839">
        <f>+G370+H370</f>
        <v>0</v>
      </c>
      <c r="J370" s="698"/>
      <c r="K370" s="897">
        <f>-MIN(ABS(I370),ABS(J372))*SIGN(I370)</f>
        <v>0</v>
      </c>
      <c r="L370" s="898">
        <f>+K370+H370</f>
        <v>0</v>
      </c>
      <c r="N370" s="839">
        <f>+I370+K370</f>
        <v>0</v>
      </c>
      <c r="O370" s="610"/>
    </row>
    <row r="371" spans="2:15" ht="13" x14ac:dyDescent="0.25">
      <c r="B371" s="1057">
        <v>2018</v>
      </c>
      <c r="C371" s="1058"/>
      <c r="D371" s="1058"/>
      <c r="E371" s="1059"/>
      <c r="F371" s="896"/>
      <c r="G371" s="839">
        <f>H121</f>
        <v>0</v>
      </c>
      <c r="H371" s="898">
        <f>IF(SIGN(G371*K365)&lt;0,-H370,0)</f>
        <v>0</v>
      </c>
      <c r="I371" s="839">
        <f>+G371+H371</f>
        <v>0</v>
      </c>
      <c r="J371" s="698"/>
      <c r="K371" s="897">
        <f>-MIN(ABS(I371),ABS(J372-K370))*SIGN(I371)</f>
        <v>0</v>
      </c>
      <c r="L371" s="898">
        <f>+K371+H371</f>
        <v>0</v>
      </c>
      <c r="N371" s="839">
        <f>+I371+K371</f>
        <v>0</v>
      </c>
      <c r="O371" s="610"/>
    </row>
    <row r="372" spans="2:15" s="18" customFormat="1" ht="13" x14ac:dyDescent="0.3">
      <c r="G372" s="899">
        <f>SUM(G370:G371)</f>
        <v>0</v>
      </c>
      <c r="H372" s="899">
        <f>SUM(H370:H371)</f>
        <v>0</v>
      </c>
      <c r="I372" s="899">
        <f>SUM(I370:I371)</f>
        <v>0</v>
      </c>
      <c r="J372" s="899">
        <f>-I372*0.5</f>
        <v>0</v>
      </c>
      <c r="K372" s="900">
        <f>SUM(K370:K371)</f>
        <v>0</v>
      </c>
      <c r="L372" s="901"/>
      <c r="N372" s="899">
        <f>SUM(N370:N371)</f>
        <v>0</v>
      </c>
    </row>
    <row r="373" spans="2:15" x14ac:dyDescent="0.25">
      <c r="K373" s="20"/>
      <c r="M373" s="610"/>
    </row>
    <row r="374" spans="2:15" ht="13" x14ac:dyDescent="0.3">
      <c r="B374" s="18" t="s">
        <v>362</v>
      </c>
      <c r="F374" s="895">
        <v>2020</v>
      </c>
      <c r="K374" s="20"/>
    </row>
    <row r="375" spans="2:15" x14ac:dyDescent="0.25">
      <c r="K375" s="20"/>
    </row>
    <row r="376" spans="2:15" ht="94.5" customHeight="1" x14ac:dyDescent="0.25">
      <c r="B376" s="1060" t="s">
        <v>363</v>
      </c>
      <c r="C376" s="1061"/>
      <c r="D376" s="1061"/>
      <c r="E376" s="1062"/>
      <c r="F376" s="599"/>
      <c r="G376" s="675" t="str">
        <f>"Nog af te bouwen regulatoir saldo einde "&amp;F374-1</f>
        <v>Nog af te bouwen regulatoir saldo einde 2019</v>
      </c>
      <c r="H376" s="675" t="str">
        <f>"Afbouw oudste openstaande regulatoir saldo vanaf boekjaar "&amp;F374-32&amp;" en vroeger, door aanwending van compensatie met regulatoir saldo ontstaan over boekjaar "&amp;F374-1</f>
        <v>Afbouw oudste openstaande regulatoir saldo vanaf boekjaar 1988 en vroeger, door aanwending van compensatie met regulatoir saldo ontstaan over boekjaar 2019</v>
      </c>
      <c r="I376" s="675" t="str">
        <f>"Nog af te bouwen regulatoir saldo na compensatie einde "&amp;F374-1</f>
        <v>Nog af te bouwen regulatoir saldo na compensatie einde 2019</v>
      </c>
      <c r="J376" s="675" t="str">
        <f>"Aanwending van 50% van het geaccumuleerd regulatoir saldo door te rekenen volgens de tariefmethodologie in het boekjaar "&amp;F374</f>
        <v>Aanwending van 50% van het geaccumuleerd regulatoir saldo door te rekenen volgens de tariefmethodologie in het boekjaar 2020</v>
      </c>
      <c r="K376" s="675" t="str">
        <f>"Aanwending van 50% van het geaccumuleerd regulatoir saldo door te rekenen volgens de tariefmethodologie in het boekjaar "&amp;F374</f>
        <v>Aanwending van 50% van het geaccumuleerd regulatoir saldo door te rekenen volgens de tariefmethodologie in het boekjaar 2020</v>
      </c>
      <c r="L376" s="675" t="str">
        <f>"Totale afbouw over "&amp;F374</f>
        <v>Totale afbouw over 2020</v>
      </c>
      <c r="N376" s="675" t="str">
        <f>"Nog af te bouwen regulatoir saldo einde "&amp;F374</f>
        <v>Nog af te bouwen regulatoir saldo einde 2020</v>
      </c>
      <c r="O376" s="610"/>
    </row>
    <row r="377" spans="2:15" ht="13" x14ac:dyDescent="0.25">
      <c r="B377" s="1057">
        <v>2017</v>
      </c>
      <c r="C377" s="1058"/>
      <c r="D377" s="1058"/>
      <c r="E377" s="1059"/>
      <c r="F377" s="896"/>
      <c r="G377" s="839">
        <f>+N370</f>
        <v>0</v>
      </c>
      <c r="H377" s="898">
        <f>IF(SIGN(G379*N372)&lt;0,IF(G377&lt;&gt;0,-SIGN(G377)*MIN(ABS(G379),ABS(G377)),0),0)</f>
        <v>0</v>
      </c>
      <c r="I377" s="839">
        <f>+G377+H377</f>
        <v>0</v>
      </c>
      <c r="J377" s="698"/>
      <c r="K377" s="897">
        <f>-MIN(ABS(I377),ABS(J380))*SIGN(I377)</f>
        <v>0</v>
      </c>
      <c r="L377" s="898">
        <f>+K377+H377</f>
        <v>0</v>
      </c>
      <c r="N377" s="839">
        <f>+I377+K377</f>
        <v>0</v>
      </c>
      <c r="O377" s="610"/>
    </row>
    <row r="378" spans="2:15" ht="13" x14ac:dyDescent="0.25">
      <c r="B378" s="1057">
        <v>2018</v>
      </c>
      <c r="C378" s="1058"/>
      <c r="D378" s="1058">
        <v>2016</v>
      </c>
      <c r="E378" s="1059"/>
      <c r="F378" s="896"/>
      <c r="G378" s="839">
        <f>+N371</f>
        <v>0</v>
      </c>
      <c r="H378" s="898">
        <f>IF(SIGN(G379*N372)&lt;0,IF(G378&lt;&gt;0,-SIGN(G378)*MIN(ABS(G379-H377),ABS(G378)),0),0)</f>
        <v>0</v>
      </c>
      <c r="I378" s="839">
        <f>+G378+H378</f>
        <v>0</v>
      </c>
      <c r="J378" s="698"/>
      <c r="K378" s="897">
        <f>-MIN(ABS(I378),ABS(J380-K377))*SIGN(I378)</f>
        <v>0</v>
      </c>
      <c r="L378" s="898">
        <f>+K378+H378</f>
        <v>0</v>
      </c>
      <c r="N378" s="839">
        <f>+I378+K378</f>
        <v>0</v>
      </c>
      <c r="O378" s="610"/>
    </row>
    <row r="379" spans="2:15" ht="13" x14ac:dyDescent="0.25">
      <c r="B379" s="1057">
        <v>2019</v>
      </c>
      <c r="C379" s="1058"/>
      <c r="D379" s="1058"/>
      <c r="E379" s="1059"/>
      <c r="F379" s="896"/>
      <c r="G379" s="839">
        <f>I122</f>
        <v>0</v>
      </c>
      <c r="H379" s="898">
        <f>IF(SIGN(G379*N372)&lt;0,-SUM(H377:H378),0)</f>
        <v>0</v>
      </c>
      <c r="I379" s="839">
        <f>+G379+H379</f>
        <v>0</v>
      </c>
      <c r="J379" s="698"/>
      <c r="K379" s="897">
        <f>-MIN(ABS(I379),ABS(J380-K377-K378))*SIGN(I379)</f>
        <v>0</v>
      </c>
      <c r="L379" s="898">
        <f>+K379+H379</f>
        <v>0</v>
      </c>
      <c r="N379" s="839">
        <f>+I379+K379</f>
        <v>0</v>
      </c>
      <c r="O379" s="610"/>
    </row>
    <row r="380" spans="2:15" s="18" customFormat="1" ht="13" x14ac:dyDescent="0.3">
      <c r="G380" s="899">
        <f>SUM(G377:G379)</f>
        <v>0</v>
      </c>
      <c r="H380" s="899">
        <f>SUM(H377:H379)</f>
        <v>0</v>
      </c>
      <c r="I380" s="899">
        <f>SUM(I377:I379)</f>
        <v>0</v>
      </c>
      <c r="J380" s="899">
        <f>-I380*0.5</f>
        <v>0</v>
      </c>
      <c r="K380" s="900">
        <f>SUM(K377:K379)</f>
        <v>0</v>
      </c>
      <c r="L380" s="901"/>
      <c r="N380" s="899">
        <f>SUM(N377:N379)</f>
        <v>0</v>
      </c>
    </row>
    <row r="381" spans="2:15" x14ac:dyDescent="0.25">
      <c r="K381" s="20"/>
      <c r="M381" s="394"/>
    </row>
    <row r="382" spans="2:15" x14ac:dyDescent="0.25">
      <c r="K382" s="20"/>
      <c r="M382" s="394"/>
    </row>
    <row r="383" spans="2:15" ht="13" x14ac:dyDescent="0.3">
      <c r="B383" s="18" t="s">
        <v>364</v>
      </c>
      <c r="C383" s="381"/>
      <c r="D383" s="381"/>
      <c r="E383" s="381"/>
      <c r="K383" s="20"/>
      <c r="M383" s="394"/>
    </row>
    <row r="384" spans="2:15" ht="13" x14ac:dyDescent="0.3">
      <c r="B384" s="18"/>
      <c r="C384" s="381"/>
      <c r="D384" s="381"/>
      <c r="E384" s="381"/>
      <c r="K384" s="20"/>
      <c r="M384" s="394"/>
    </row>
    <row r="385" spans="2:13" ht="13" x14ac:dyDescent="0.3">
      <c r="B385" s="864">
        <f>F362</f>
        <v>2018</v>
      </c>
      <c r="C385" s="906">
        <f>J365</f>
        <v>0</v>
      </c>
      <c r="D385" s="381"/>
      <c r="E385" s="381"/>
      <c r="K385" s="20"/>
      <c r="M385" s="394"/>
    </row>
    <row r="386" spans="2:13" ht="13" x14ac:dyDescent="0.3">
      <c r="B386" s="864">
        <f>F367</f>
        <v>2019</v>
      </c>
      <c r="C386" s="906">
        <f>K372</f>
        <v>0</v>
      </c>
      <c r="D386" s="381"/>
      <c r="E386" s="381"/>
      <c r="K386" s="20"/>
      <c r="M386" s="394"/>
    </row>
    <row r="387" spans="2:13" ht="13" x14ac:dyDescent="0.3">
      <c r="B387" s="864">
        <f>F374</f>
        <v>2020</v>
      </c>
      <c r="C387" s="906">
        <f>K380</f>
        <v>0</v>
      </c>
      <c r="D387" s="381"/>
      <c r="E387" s="381"/>
      <c r="K387" s="20"/>
      <c r="M387" s="394"/>
    </row>
    <row r="388" spans="2:13" ht="13" x14ac:dyDescent="0.3">
      <c r="H388" s="392"/>
      <c r="I388" s="392"/>
      <c r="J388" s="392"/>
      <c r="K388" s="20"/>
      <c r="M388" s="610"/>
    </row>
    <row r="389" spans="2:13" x14ac:dyDescent="0.25">
      <c r="K389" s="20"/>
      <c r="M389" s="610"/>
    </row>
    <row r="390" spans="2:13" x14ac:dyDescent="0.25">
      <c r="K390" s="20"/>
      <c r="M390" s="610"/>
    </row>
    <row r="391" spans="2:13" x14ac:dyDescent="0.25">
      <c r="K391" s="20"/>
      <c r="M391" s="610"/>
    </row>
  </sheetData>
  <mergeCells count="192">
    <mergeCell ref="B377:E377"/>
    <mergeCell ref="B378:E378"/>
    <mergeCell ref="B379:E379"/>
    <mergeCell ref="B364:E364"/>
    <mergeCell ref="B365:E365"/>
    <mergeCell ref="B369:E369"/>
    <mergeCell ref="B370:E370"/>
    <mergeCell ref="B371:E371"/>
    <mergeCell ref="B376:E376"/>
    <mergeCell ref="B334:E334"/>
    <mergeCell ref="B335:E335"/>
    <mergeCell ref="B339:E339"/>
    <mergeCell ref="B340:E340"/>
    <mergeCell ref="B341:E341"/>
    <mergeCell ref="B346:E346"/>
    <mergeCell ref="B347:E347"/>
    <mergeCell ref="B348:E348"/>
    <mergeCell ref="B349:E349"/>
    <mergeCell ref="B304:E304"/>
    <mergeCell ref="B305:E305"/>
    <mergeCell ref="B309:E309"/>
    <mergeCell ref="B310:E310"/>
    <mergeCell ref="B311:E311"/>
    <mergeCell ref="B316:E316"/>
    <mergeCell ref="B317:E317"/>
    <mergeCell ref="B318:E318"/>
    <mergeCell ref="B319:E319"/>
    <mergeCell ref="B274:E274"/>
    <mergeCell ref="B275:E275"/>
    <mergeCell ref="B279:E279"/>
    <mergeCell ref="B280:E280"/>
    <mergeCell ref="B281:E281"/>
    <mergeCell ref="B286:E286"/>
    <mergeCell ref="B287:E287"/>
    <mergeCell ref="B288:E288"/>
    <mergeCell ref="B289:E289"/>
    <mergeCell ref="B244:E244"/>
    <mergeCell ref="B245:E245"/>
    <mergeCell ref="B249:E249"/>
    <mergeCell ref="B250:E250"/>
    <mergeCell ref="B251:E251"/>
    <mergeCell ref="B256:E256"/>
    <mergeCell ref="B257:E257"/>
    <mergeCell ref="B258:E258"/>
    <mergeCell ref="B259:E259"/>
    <mergeCell ref="B214:E214"/>
    <mergeCell ref="B215:E215"/>
    <mergeCell ref="B219:E219"/>
    <mergeCell ref="B220:E220"/>
    <mergeCell ref="B221:E221"/>
    <mergeCell ref="B226:E226"/>
    <mergeCell ref="B227:E227"/>
    <mergeCell ref="B228:E228"/>
    <mergeCell ref="B229:E229"/>
    <mergeCell ref="B184:E184"/>
    <mergeCell ref="B185:E185"/>
    <mergeCell ref="B189:E189"/>
    <mergeCell ref="B190:E190"/>
    <mergeCell ref="B191:E191"/>
    <mergeCell ref="B196:E196"/>
    <mergeCell ref="B197:E197"/>
    <mergeCell ref="B198:E198"/>
    <mergeCell ref="B199:E199"/>
    <mergeCell ref="B142:E142"/>
    <mergeCell ref="B143:E143"/>
    <mergeCell ref="B144:E144"/>
    <mergeCell ref="B145:E145"/>
    <mergeCell ref="B147:E147"/>
    <mergeCell ref="B131:E131"/>
    <mergeCell ref="B136:E136"/>
    <mergeCell ref="B138:E138"/>
    <mergeCell ref="B139:E139"/>
    <mergeCell ref="B140:E140"/>
    <mergeCell ref="B120:E120"/>
    <mergeCell ref="B113:E113"/>
    <mergeCell ref="B114:E114"/>
    <mergeCell ref="B115:E115"/>
    <mergeCell ref="B116:E116"/>
    <mergeCell ref="B141:E141"/>
    <mergeCell ref="B127:E127"/>
    <mergeCell ref="B128:E128"/>
    <mergeCell ref="B129:E129"/>
    <mergeCell ref="B130:E130"/>
    <mergeCell ref="B121:E121"/>
    <mergeCell ref="B122:E122"/>
    <mergeCell ref="B123:E123"/>
    <mergeCell ref="B126:E126"/>
    <mergeCell ref="B125:E125"/>
    <mergeCell ref="B112:E112"/>
    <mergeCell ref="B104:E104"/>
    <mergeCell ref="B105:E105"/>
    <mergeCell ref="B106:E106"/>
    <mergeCell ref="B107:E107"/>
    <mergeCell ref="B108:E108"/>
    <mergeCell ref="B117:E117"/>
    <mergeCell ref="B118:E118"/>
    <mergeCell ref="B119:E119"/>
    <mergeCell ref="B102:E102"/>
    <mergeCell ref="B103:E103"/>
    <mergeCell ref="B95:E95"/>
    <mergeCell ref="B96:E96"/>
    <mergeCell ref="B97:E97"/>
    <mergeCell ref="B98:E98"/>
    <mergeCell ref="B109:E109"/>
    <mergeCell ref="B110:E110"/>
    <mergeCell ref="B111:E111"/>
    <mergeCell ref="B93:E93"/>
    <mergeCell ref="B94:E94"/>
    <mergeCell ref="B87:E87"/>
    <mergeCell ref="B88:E88"/>
    <mergeCell ref="B89:E89"/>
    <mergeCell ref="B90:E90"/>
    <mergeCell ref="B99:E99"/>
    <mergeCell ref="B100:E100"/>
    <mergeCell ref="B101:E101"/>
    <mergeCell ref="B85:E85"/>
    <mergeCell ref="B86:E86"/>
    <mergeCell ref="B73:E73"/>
    <mergeCell ref="B74:E74"/>
    <mergeCell ref="B75:E75"/>
    <mergeCell ref="B76:E76"/>
    <mergeCell ref="B77:E77"/>
    <mergeCell ref="B91:E91"/>
    <mergeCell ref="B92:E92"/>
    <mergeCell ref="B69:E69"/>
    <mergeCell ref="B70:E70"/>
    <mergeCell ref="B64:E64"/>
    <mergeCell ref="B65:E65"/>
    <mergeCell ref="B66:E66"/>
    <mergeCell ref="B67:E67"/>
    <mergeCell ref="B78:E78"/>
    <mergeCell ref="B82:E82"/>
    <mergeCell ref="B84:E84"/>
    <mergeCell ref="B72:E72"/>
    <mergeCell ref="B60:E60"/>
    <mergeCell ref="B61:E61"/>
    <mergeCell ref="B62:E62"/>
    <mergeCell ref="B63:E63"/>
    <mergeCell ref="B56:E56"/>
    <mergeCell ref="B57:E57"/>
    <mergeCell ref="B58:E58"/>
    <mergeCell ref="B59:E59"/>
    <mergeCell ref="B68:E68"/>
    <mergeCell ref="B52:E52"/>
    <mergeCell ref="B53:E53"/>
    <mergeCell ref="B54:E54"/>
    <mergeCell ref="B55:E55"/>
    <mergeCell ref="B46:E46"/>
    <mergeCell ref="B47:E47"/>
    <mergeCell ref="B48:E48"/>
    <mergeCell ref="B49:E49"/>
    <mergeCell ref="B50:E50"/>
    <mergeCell ref="B42:E42"/>
    <mergeCell ref="B43:E43"/>
    <mergeCell ref="B44:E44"/>
    <mergeCell ref="B45:E45"/>
    <mergeCell ref="B38:E38"/>
    <mergeCell ref="B39:E39"/>
    <mergeCell ref="B40:E40"/>
    <mergeCell ref="B41:E41"/>
    <mergeCell ref="B51:E51"/>
    <mergeCell ref="A1:J1"/>
    <mergeCell ref="B4:E4"/>
    <mergeCell ref="B7:E7"/>
    <mergeCell ref="B13:E13"/>
    <mergeCell ref="B15:E15"/>
    <mergeCell ref="B16:E16"/>
    <mergeCell ref="B17:E17"/>
    <mergeCell ref="B18:E18"/>
    <mergeCell ref="B19:E19"/>
    <mergeCell ref="B20:E20"/>
    <mergeCell ref="B21:E21"/>
    <mergeCell ref="B22:E22"/>
    <mergeCell ref="B34:E34"/>
    <mergeCell ref="B35:E35"/>
    <mergeCell ref="B36:E36"/>
    <mergeCell ref="B37:E37"/>
    <mergeCell ref="B24:E24"/>
    <mergeCell ref="B25:E25"/>
    <mergeCell ref="B29:E29"/>
    <mergeCell ref="B31:E31"/>
    <mergeCell ref="B32:E32"/>
    <mergeCell ref="B33:E33"/>
    <mergeCell ref="B167:E167"/>
    <mergeCell ref="B168:E168"/>
    <mergeCell ref="B169:E169"/>
    <mergeCell ref="B154:E154"/>
    <mergeCell ref="B155:E155"/>
    <mergeCell ref="B159:E159"/>
    <mergeCell ref="B160:E160"/>
    <mergeCell ref="B161:E161"/>
    <mergeCell ref="B166:E166"/>
  </mergeCells>
  <conditionalFormatting sqref="B51:J60 B104:J113 B19:J20 B142:G143">
    <cfRule type="expression" dxfId="25" priority="14" stopIfTrue="1">
      <formula>$B$7="gas"</formula>
    </cfRule>
  </conditionalFormatting>
  <conditionalFormatting sqref="B21:J21 B61:J65 B114:J118 B144:G144">
    <cfRule type="expression" dxfId="24" priority="13" stopIfTrue="1">
      <formula>$B$7="elektriciteit"</formula>
    </cfRule>
  </conditionalFormatting>
  <conditionalFormatting sqref="B134:G147">
    <cfRule type="expression" dxfId="23" priority="11" stopIfTrue="1">
      <formula>$K$2=2017</formula>
    </cfRule>
  </conditionalFormatting>
  <conditionalFormatting sqref="L51:L60 L104:L113 L19:L20">
    <cfRule type="expression" dxfId="22" priority="9" stopIfTrue="1">
      <formula>$B$7="gas"</formula>
    </cfRule>
  </conditionalFormatting>
  <conditionalFormatting sqref="L21 L61:L65 L114:L118">
    <cfRule type="expression" dxfId="21" priority="8" stopIfTrue="1">
      <formula>$B$7="elektriciteit"</formula>
    </cfRule>
  </conditionalFormatting>
  <conditionalFormatting sqref="H134:J148">
    <cfRule type="expression" dxfId="20" priority="5" stopIfTrue="1">
      <formula>$K$2=2017</formula>
    </cfRule>
  </conditionalFormatting>
  <conditionalFormatting sqref="B134:J134 B135:G147 H135:J148">
    <cfRule type="expression" dxfId="19" priority="4" stopIfTrue="1">
      <formula>$E$2="ex-post"</formula>
    </cfRule>
  </conditionalFormatting>
  <conditionalFormatting sqref="B270:N327">
    <cfRule type="expression" dxfId="18" priority="2" stopIfTrue="1">
      <formula>$B$7="gas"</formula>
    </cfRule>
  </conditionalFormatting>
  <conditionalFormatting sqref="B330:N357">
    <cfRule type="expression" dxfId="17" priority="1" stopIfTrue="1">
      <formula>$B$7="elektriciteit"</formula>
    </cfRule>
  </conditionalFormatting>
  <pageMargins left="0.70866141732283472" right="0.70866141732283472" top="0.74803149606299213" bottom="0.74803149606299213" header="0.31496062992125984" footer="0.31496062992125984"/>
  <pageSetup paperSize="8" scale="27" fitToWidth="2" fitToHeight="2" orientation="portrait" r:id="rId1"/>
  <rowBreaks count="1" manualBreakCount="1">
    <brk id="78" max="13" man="1"/>
  </rowBreaks>
  <ignoredErrors>
    <ignoredError sqref="G24:G25 L23:L25 G131 L131" evalError="1"/>
    <ignoredError sqref="G77:I77 H15:J22 L32:L35 L74:L77 L37:L40 L42:L45 L47:L50 L52:L55 L57:L60 L62:L65 L67:L70 G75 G76:H76 L85" unlockedFormula="1"/>
    <ignoredError sqref="G16:G22 L15:L22 G85 H120:J120 H115:J115 H110:J110 H105:J105 H100:J100 H95:J95 H90:J90 H127:J127 J129 I128:J128 J122 I121:J121 G121 G122:H122 J117 I116:J116 G116 G117:H117 J112 I111:J111 G111 G112:H112 J107 I106:J106 G106 G107:H107 J102 I101:J101 G101 G102:H102 J97 I96:J96 G96 G97:H97 J92 I91:J91 G91 G92:H92 J87 I86:J86 G86 L123 G123:I123 L118 G118:I118 G119:L119 L113 G113:I113 G114:L114 L108 G108:I108 G109:L109 L103 G103:I103 G104:L104 L98 G98:I98 G99:L99 L93 G93:I93 G94:L94 L130 L88 G88:I88 G89:L89 H124:K124 G125:L126 G87:H87 G124 G127:G130 G90 G95 G100 G105 G110 G115 G120 L124 J88 H130:J130 J93 J98 J103 J108 J113 J118 J123 H86 I87 H91 I92 H96 I97 H101 I102 H106 I107 H111 I112 H116 I117 H121 I122 H128 H129:I129 L86 L87 L90 L92 L91 L95 L97 L96 L100 L102 L101 L105 L107 L106 L110 L112 L111 L115 L117 L116 L120 L122 L121 L127 L129 L12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8"/>
  <sheetViews>
    <sheetView zoomScale="80" zoomScaleNormal="80" zoomScaleSheetLayoutView="80" workbookViewId="0">
      <selection activeCell="B22" sqref="B22"/>
    </sheetView>
  </sheetViews>
  <sheetFormatPr defaultColWidth="11.453125" defaultRowHeight="12.5" x14ac:dyDescent="0.25"/>
  <cols>
    <col min="1" max="1" width="25.453125" style="187" customWidth="1"/>
    <col min="2" max="2" width="14.26953125" style="187" customWidth="1"/>
    <col min="3" max="6" width="21.26953125" style="187" customWidth="1"/>
    <col min="7" max="7" width="35.26953125" style="187" customWidth="1"/>
    <col min="8" max="8" width="27.453125" style="187" customWidth="1"/>
    <col min="9" max="9" width="28.26953125" style="187" customWidth="1"/>
    <col min="10" max="10" width="31.453125" style="187" customWidth="1"/>
    <col min="11" max="11" width="28.7265625" style="187" bestFit="1" customWidth="1"/>
    <col min="12" max="12" width="14" style="187" customWidth="1"/>
    <col min="13" max="13" width="29.1796875" style="187" customWidth="1"/>
    <col min="14" max="14" width="12.26953125" style="187" bestFit="1" customWidth="1"/>
    <col min="15" max="16384" width="11.453125" style="187"/>
  </cols>
  <sheetData>
    <row r="1" spans="1:27" ht="21.75" customHeight="1" thickBot="1" x14ac:dyDescent="0.45">
      <c r="A1" s="1157" t="s">
        <v>272</v>
      </c>
      <c r="B1" s="1158"/>
      <c r="C1" s="1158"/>
      <c r="D1" s="1158"/>
      <c r="E1" s="1158"/>
      <c r="F1" s="1158"/>
      <c r="G1" s="1158"/>
      <c r="H1" s="1159"/>
      <c r="I1" s="50"/>
      <c r="J1" s="48"/>
      <c r="K1" s="46"/>
    </row>
    <row r="2" spans="1:27" x14ac:dyDescent="0.25">
      <c r="A2" s="188"/>
      <c r="B2" s="188"/>
      <c r="C2" s="188"/>
      <c r="D2" s="188"/>
      <c r="E2" s="188"/>
      <c r="F2" s="188"/>
      <c r="G2" s="188"/>
      <c r="H2" s="188"/>
      <c r="I2" s="50"/>
      <c r="J2" s="48"/>
      <c r="K2" s="188"/>
    </row>
    <row r="3" spans="1:27" ht="13" thickBot="1" x14ac:dyDescent="0.3">
      <c r="A3" s="188"/>
      <c r="B3" s="188"/>
      <c r="C3" s="188"/>
      <c r="D3" s="188"/>
      <c r="E3" s="188"/>
      <c r="F3" s="188"/>
      <c r="G3" s="188"/>
      <c r="H3" s="188"/>
      <c r="I3" s="50"/>
      <c r="J3" s="48"/>
      <c r="K3" s="188"/>
    </row>
    <row r="4" spans="1:27" s="190" customFormat="1" ht="24" customHeight="1" thickBot="1" x14ac:dyDescent="0.4">
      <c r="A4" s="1040" t="s">
        <v>333</v>
      </c>
      <c r="B4" s="1041"/>
      <c r="C4" s="1041"/>
      <c r="D4" s="1041"/>
      <c r="E4" s="1041"/>
      <c r="F4" s="1041"/>
      <c r="G4" s="1041"/>
      <c r="H4" s="1042"/>
      <c r="I4" s="189"/>
      <c r="J4" s="189"/>
      <c r="K4" s="187"/>
      <c r="L4" s="187"/>
      <c r="M4" s="187"/>
      <c r="N4" s="187"/>
      <c r="O4" s="187"/>
      <c r="P4" s="187"/>
      <c r="Q4" s="187"/>
      <c r="R4" s="187"/>
      <c r="S4" s="187"/>
      <c r="T4" s="187"/>
      <c r="U4" s="187"/>
      <c r="V4" s="187"/>
      <c r="W4" s="187"/>
      <c r="X4" s="187"/>
      <c r="Y4" s="187"/>
      <c r="Z4" s="187"/>
      <c r="AA4" s="187"/>
    </row>
    <row r="5" spans="1:27" ht="13" thickBot="1" x14ac:dyDescent="0.3"/>
    <row r="6" spans="1:27" s="190" customFormat="1" ht="17" thickBot="1" x14ac:dyDescent="0.4">
      <c r="A6" s="187"/>
      <c r="B6" s="187"/>
      <c r="C6" s="1043" t="s">
        <v>43</v>
      </c>
      <c r="D6" s="1044"/>
      <c r="E6" s="1044"/>
      <c r="F6" s="1045"/>
      <c r="G6" s="187"/>
      <c r="H6" s="187"/>
      <c r="I6" s="187"/>
      <c r="J6" s="187"/>
      <c r="K6" s="187"/>
      <c r="L6" s="187"/>
      <c r="M6" s="187"/>
      <c r="N6" s="187"/>
      <c r="O6" s="187"/>
      <c r="P6" s="187"/>
      <c r="Q6" s="187"/>
      <c r="R6" s="187"/>
      <c r="S6" s="187"/>
      <c r="T6" s="187"/>
      <c r="U6" s="187"/>
      <c r="V6" s="187"/>
      <c r="W6" s="187"/>
      <c r="X6" s="187"/>
      <c r="Y6" s="187"/>
      <c r="Z6" s="187"/>
      <c r="AA6" s="187"/>
    </row>
    <row r="7" spans="1:27" s="190" customFormat="1" ht="13.5" thickBot="1" x14ac:dyDescent="0.35">
      <c r="A7" s="187"/>
      <c r="B7" s="187"/>
      <c r="C7" s="191">
        <v>2017</v>
      </c>
      <c r="D7" s="192">
        <f>+C7+1</f>
        <v>2018</v>
      </c>
      <c r="E7" s="192">
        <f>+D7+1</f>
        <v>2019</v>
      </c>
      <c r="F7" s="192">
        <f>+E7+1</f>
        <v>2020</v>
      </c>
      <c r="G7" s="187"/>
      <c r="H7" s="187"/>
      <c r="I7" s="187"/>
      <c r="J7" s="187"/>
      <c r="K7" s="187"/>
      <c r="L7" s="187"/>
      <c r="M7" s="187"/>
      <c r="N7" s="187"/>
      <c r="O7" s="187"/>
      <c r="P7" s="187"/>
      <c r="Q7" s="187"/>
      <c r="R7" s="187"/>
      <c r="S7" s="187"/>
      <c r="T7" s="187"/>
      <c r="U7" s="187"/>
      <c r="V7" s="187"/>
      <c r="W7" s="187"/>
      <c r="X7" s="187"/>
      <c r="Y7" s="187"/>
      <c r="Z7" s="187"/>
      <c r="AA7" s="187"/>
    </row>
    <row r="8" spans="1:27" s="190" customFormat="1" x14ac:dyDescent="0.25">
      <c r="A8" s="187"/>
      <c r="B8" s="187"/>
      <c r="C8" s="467">
        <v>0</v>
      </c>
      <c r="D8" s="467">
        <v>0</v>
      </c>
      <c r="E8" s="467">
        <v>0</v>
      </c>
      <c r="F8" s="467">
        <v>0</v>
      </c>
      <c r="G8" s="187"/>
      <c r="H8" s="187"/>
      <c r="I8" s="187"/>
      <c r="J8" s="187"/>
      <c r="K8" s="187"/>
      <c r="L8" s="187"/>
      <c r="M8" s="187"/>
      <c r="N8" s="187"/>
      <c r="O8" s="187"/>
      <c r="P8" s="187"/>
      <c r="Q8" s="187"/>
      <c r="R8" s="187"/>
      <c r="S8" s="187"/>
      <c r="T8" s="187"/>
      <c r="U8" s="187"/>
      <c r="V8" s="187"/>
      <c r="W8" s="187"/>
      <c r="X8" s="187"/>
      <c r="Y8" s="187"/>
      <c r="Z8" s="187"/>
      <c r="AA8" s="187"/>
    </row>
    <row r="9" spans="1:27" ht="13" x14ac:dyDescent="0.3">
      <c r="C9" s="194" t="s">
        <v>339</v>
      </c>
      <c r="F9" s="195"/>
    </row>
    <row r="10" spans="1:27" ht="13" x14ac:dyDescent="0.3">
      <c r="C10" s="194" t="s">
        <v>145</v>
      </c>
    </row>
    <row r="11" spans="1:27" ht="13" x14ac:dyDescent="0.3">
      <c r="C11" s="197"/>
    </row>
    <row r="12" spans="1:27" ht="13.5" thickBot="1" x14ac:dyDescent="0.35">
      <c r="C12" s="197"/>
    </row>
    <row r="13" spans="1:27" s="739" customFormat="1" ht="20.25" customHeight="1" thickBot="1" x14ac:dyDescent="0.3">
      <c r="A13" s="1046" t="s">
        <v>29</v>
      </c>
      <c r="B13" s="1047"/>
      <c r="C13" s="1047"/>
      <c r="D13" s="1047"/>
      <c r="E13" s="1047"/>
      <c r="F13" s="1047"/>
      <c r="G13" s="1047"/>
      <c r="H13" s="1047"/>
      <c r="I13" s="1047"/>
      <c r="J13" s="1048"/>
    </row>
    <row r="15" spans="1:27" ht="13" x14ac:dyDescent="0.3">
      <c r="C15" s="194" t="s">
        <v>144</v>
      </c>
    </row>
    <row r="16" spans="1:27" ht="13" x14ac:dyDescent="0.3">
      <c r="C16" s="194" t="s">
        <v>145</v>
      </c>
    </row>
    <row r="17" spans="1:27" ht="16.5" x14ac:dyDescent="0.35">
      <c r="C17" s="1023" t="s">
        <v>30</v>
      </c>
      <c r="D17" s="1024"/>
      <c r="E17" s="1024"/>
      <c r="F17" s="1025"/>
      <c r="H17" s="200" t="s">
        <v>31</v>
      </c>
    </row>
    <row r="18" spans="1:27" ht="13.5" thickBot="1" x14ac:dyDescent="0.35">
      <c r="A18" s="1035"/>
      <c r="B18" s="1035"/>
      <c r="C18" s="201">
        <f>C7</f>
        <v>2017</v>
      </c>
      <c r="D18" s="202">
        <f>D7</f>
        <v>2018</v>
      </c>
      <c r="E18" s="202">
        <f>E7</f>
        <v>2019</v>
      </c>
      <c r="F18" s="202">
        <f>F7</f>
        <v>2020</v>
      </c>
      <c r="H18" s="203"/>
    </row>
    <row r="19" spans="1:27" s="190" customFormat="1" ht="13" thickBot="1" x14ac:dyDescent="0.3">
      <c r="A19" s="1026" t="s">
        <v>32</v>
      </c>
      <c r="B19" s="204">
        <f>C7</f>
        <v>2017</v>
      </c>
      <c r="C19" s="728">
        <v>0</v>
      </c>
      <c r="D19" s="205"/>
      <c r="E19" s="205"/>
      <c r="F19" s="206"/>
      <c r="G19" s="207"/>
      <c r="H19" s="208">
        <f>SUM(C19:F19)</f>
        <v>0</v>
      </c>
      <c r="I19" s="187"/>
      <c r="J19" s="187"/>
      <c r="K19" s="187"/>
      <c r="L19" s="187"/>
      <c r="M19" s="187"/>
      <c r="N19" s="187"/>
      <c r="O19" s="187"/>
      <c r="P19" s="187"/>
      <c r="Q19" s="187"/>
      <c r="R19" s="187"/>
      <c r="S19" s="187"/>
      <c r="T19" s="187"/>
      <c r="U19" s="187"/>
      <c r="V19" s="187"/>
      <c r="W19" s="187"/>
      <c r="X19" s="187"/>
      <c r="Y19" s="187"/>
      <c r="Z19" s="187"/>
      <c r="AA19" s="187"/>
    </row>
    <row r="20" spans="1:27" s="190" customFormat="1" ht="13" thickBot="1" x14ac:dyDescent="0.3">
      <c r="A20" s="1108"/>
      <c r="B20" s="726">
        <f>D7</f>
        <v>2018</v>
      </c>
      <c r="C20" s="468">
        <f>+C8-C19</f>
        <v>0</v>
      </c>
      <c r="D20" s="669">
        <v>0</v>
      </c>
      <c r="E20" s="210"/>
      <c r="F20" s="211"/>
      <c r="G20" s="207"/>
      <c r="H20" s="208">
        <f>SUM(C20:F20)</f>
        <v>0</v>
      </c>
      <c r="I20" s="187"/>
      <c r="J20" s="187"/>
      <c r="K20" s="187"/>
      <c r="L20" s="187"/>
      <c r="M20" s="187"/>
      <c r="N20" s="187"/>
      <c r="O20" s="187"/>
      <c r="P20" s="187"/>
      <c r="Q20" s="187"/>
      <c r="R20" s="187"/>
      <c r="S20" s="187"/>
      <c r="T20" s="187"/>
      <c r="U20" s="187"/>
      <c r="V20" s="187"/>
      <c r="W20" s="187"/>
      <c r="X20" s="187"/>
      <c r="Y20" s="187"/>
      <c r="Z20" s="187"/>
      <c r="AA20" s="187"/>
    </row>
    <row r="21" spans="1:27" s="190" customFormat="1" ht="13" thickBot="1" x14ac:dyDescent="0.3">
      <c r="A21" s="1108"/>
      <c r="B21" s="726">
        <f>E7</f>
        <v>2019</v>
      </c>
      <c r="C21" s="729"/>
      <c r="D21" s="468">
        <f>+D8-D20</f>
        <v>0</v>
      </c>
      <c r="E21" s="669">
        <v>0</v>
      </c>
      <c r="F21" s="211"/>
      <c r="G21" s="207"/>
      <c r="H21" s="208">
        <f>SUM(C21:F21)</f>
        <v>0</v>
      </c>
      <c r="I21" s="187"/>
      <c r="J21" s="187"/>
      <c r="K21" s="187"/>
      <c r="L21" s="187"/>
      <c r="M21" s="187"/>
      <c r="N21" s="187"/>
      <c r="O21" s="187"/>
      <c r="P21" s="187"/>
      <c r="Q21" s="187"/>
      <c r="R21" s="187"/>
      <c r="S21" s="187"/>
      <c r="T21" s="187"/>
      <c r="U21" s="187"/>
      <c r="V21" s="187"/>
      <c r="W21" s="187"/>
      <c r="X21" s="187"/>
      <c r="Y21" s="187"/>
      <c r="Z21" s="187"/>
      <c r="AA21" s="187"/>
    </row>
    <row r="22" spans="1:27" s="190" customFormat="1" ht="13" thickBot="1" x14ac:dyDescent="0.3">
      <c r="A22" s="1108"/>
      <c r="B22" s="726">
        <f>F7</f>
        <v>2020</v>
      </c>
      <c r="C22" s="729"/>
      <c r="D22" s="210"/>
      <c r="E22" s="468">
        <f>+E8-E21</f>
        <v>0</v>
      </c>
      <c r="F22" s="730">
        <v>0</v>
      </c>
      <c r="G22" s="207"/>
      <c r="H22" s="208">
        <f>SUM(C22:F22)</f>
        <v>0</v>
      </c>
      <c r="I22" s="187"/>
      <c r="J22" s="187"/>
      <c r="K22" s="187"/>
      <c r="L22" s="187"/>
      <c r="M22" s="187"/>
      <c r="N22" s="187"/>
      <c r="O22" s="187"/>
      <c r="P22" s="187"/>
      <c r="Q22" s="187"/>
      <c r="R22" s="187"/>
      <c r="S22" s="187"/>
      <c r="T22" s="187"/>
      <c r="U22" s="187"/>
      <c r="V22" s="187"/>
      <c r="W22" s="187"/>
      <c r="X22" s="187"/>
      <c r="Y22" s="187"/>
      <c r="Z22" s="187"/>
      <c r="AA22" s="187"/>
    </row>
    <row r="23" spans="1:27" s="199" customFormat="1" ht="15.5" x14ac:dyDescent="0.35">
      <c r="A23" s="1109"/>
      <c r="B23" s="727" t="s">
        <v>33</v>
      </c>
      <c r="C23" s="213">
        <f>SUM(C19:C22)</f>
        <v>0</v>
      </c>
      <c r="D23" s="213">
        <f>SUM(D19:D22)</f>
        <v>0</v>
      </c>
      <c r="E23" s="213">
        <f>SUM(E19:E22)</f>
        <v>0</v>
      </c>
      <c r="F23" s="731">
        <f>SUM(F19:F22)</f>
        <v>0</v>
      </c>
      <c r="G23" s="215"/>
      <c r="H23" s="216">
        <f>SUM(H19:H22)</f>
        <v>0</v>
      </c>
      <c r="I23" s="198"/>
      <c r="J23" s="198"/>
      <c r="K23" s="198"/>
      <c r="L23" s="198"/>
      <c r="M23" s="198"/>
      <c r="N23" s="198"/>
      <c r="O23" s="198"/>
      <c r="P23" s="198"/>
      <c r="Q23" s="198"/>
      <c r="R23" s="198"/>
      <c r="S23" s="198"/>
      <c r="T23" s="198"/>
      <c r="U23" s="198"/>
      <c r="V23" s="198"/>
      <c r="W23" s="198"/>
      <c r="X23" s="198"/>
      <c r="Y23" s="198"/>
      <c r="Z23" s="198"/>
      <c r="AA23" s="198"/>
    </row>
    <row r="24" spans="1:27" s="196" customFormat="1" ht="13" x14ac:dyDescent="0.3">
      <c r="A24" s="217" t="s">
        <v>58</v>
      </c>
      <c r="C24" s="218">
        <f>+C23+C34</f>
        <v>0</v>
      </c>
      <c r="D24" s="218">
        <f>+D23+D34</f>
        <v>0</v>
      </c>
      <c r="E24" s="218">
        <f>+E23+E34</f>
        <v>0</v>
      </c>
      <c r="F24" s="218">
        <f>+F23+F34</f>
        <v>0</v>
      </c>
      <c r="G24" s="218"/>
      <c r="H24" s="218">
        <f>+H23+H34</f>
        <v>0</v>
      </c>
      <c r="I24" s="218"/>
    </row>
    <row r="25" spans="1:27" s="219" customFormat="1" ht="13" x14ac:dyDescent="0.3">
      <c r="A25" s="196"/>
      <c r="B25" s="196"/>
      <c r="C25" s="218"/>
      <c r="D25" s="218"/>
      <c r="E25" s="218"/>
      <c r="F25" s="218"/>
      <c r="G25" s="196"/>
      <c r="H25" s="196"/>
      <c r="I25" s="196"/>
      <c r="J25" s="196"/>
      <c r="K25" s="196"/>
      <c r="L25" s="196"/>
      <c r="M25" s="196"/>
      <c r="N25" s="196"/>
      <c r="O25" s="196"/>
      <c r="P25" s="196"/>
      <c r="Q25" s="196"/>
      <c r="R25" s="196"/>
      <c r="S25" s="196"/>
      <c r="T25" s="196"/>
      <c r="U25" s="196"/>
      <c r="V25" s="196"/>
      <c r="W25" s="196"/>
      <c r="X25" s="196"/>
      <c r="Y25" s="196"/>
      <c r="Z25" s="196"/>
      <c r="AA25" s="196"/>
    </row>
    <row r="26" spans="1:27" s="196" customFormat="1" ht="13" x14ac:dyDescent="0.3">
      <c r="C26" s="194" t="s">
        <v>340</v>
      </c>
      <c r="D26" s="218"/>
      <c r="E26" s="218"/>
      <c r="F26" s="218"/>
      <c r="G26" s="218"/>
      <c r="H26" s="218"/>
    </row>
    <row r="27" spans="1:27" ht="13" x14ac:dyDescent="0.3">
      <c r="C27" s="194" t="s">
        <v>341</v>
      </c>
    </row>
    <row r="28" spans="1:27" s="190" customFormat="1" ht="16.5" x14ac:dyDescent="0.35">
      <c r="A28" s="187"/>
      <c r="B28" s="187"/>
      <c r="C28" s="1029" t="s">
        <v>30</v>
      </c>
      <c r="D28" s="1030"/>
      <c r="E28" s="1030"/>
      <c r="F28" s="1031"/>
      <c r="G28" s="187"/>
      <c r="H28" s="200" t="s">
        <v>31</v>
      </c>
      <c r="I28" s="187"/>
      <c r="J28" s="200" t="s">
        <v>31</v>
      </c>
      <c r="K28" s="187"/>
      <c r="L28" s="187"/>
      <c r="M28" s="187"/>
      <c r="N28" s="187"/>
      <c r="O28" s="187"/>
      <c r="P28" s="187"/>
      <c r="Q28" s="187"/>
      <c r="R28" s="187"/>
      <c r="S28" s="187"/>
      <c r="T28" s="187"/>
      <c r="U28" s="187"/>
      <c r="V28" s="187"/>
      <c r="W28" s="187"/>
      <c r="X28" s="187"/>
      <c r="Y28" s="187"/>
      <c r="Z28" s="187"/>
      <c r="AA28" s="187"/>
    </row>
    <row r="29" spans="1:27" s="190" customFormat="1" x14ac:dyDescent="0.25">
      <c r="A29" s="187"/>
      <c r="B29" s="187"/>
      <c r="C29" s="202">
        <f>+C18</f>
        <v>2017</v>
      </c>
      <c r="D29" s="202">
        <f>+D18</f>
        <v>2018</v>
      </c>
      <c r="E29" s="202">
        <f>+E18</f>
        <v>2019</v>
      </c>
      <c r="F29" s="202">
        <f>+F18</f>
        <v>2020</v>
      </c>
      <c r="G29" s="187"/>
      <c r="H29" s="203" t="s">
        <v>34</v>
      </c>
      <c r="I29" s="187"/>
      <c r="J29" s="203" t="s">
        <v>35</v>
      </c>
      <c r="K29" s="187"/>
      <c r="L29" s="187"/>
      <c r="M29" s="187"/>
      <c r="N29" s="187"/>
      <c r="O29" s="187"/>
      <c r="P29" s="187"/>
      <c r="Q29" s="187"/>
      <c r="R29" s="187"/>
      <c r="S29" s="187"/>
      <c r="T29" s="187"/>
      <c r="U29" s="187"/>
      <c r="V29" s="187"/>
      <c r="W29" s="187"/>
      <c r="X29" s="187"/>
      <c r="Y29" s="187"/>
      <c r="Z29" s="187"/>
      <c r="AA29" s="187"/>
    </row>
    <row r="30" spans="1:27" s="190" customFormat="1" ht="12.75" customHeight="1" x14ac:dyDescent="0.3">
      <c r="A30" s="1032" t="s">
        <v>224</v>
      </c>
      <c r="B30" s="668">
        <f>+B19</f>
        <v>2017</v>
      </c>
      <c r="C30" s="732"/>
      <c r="D30" s="221"/>
      <c r="E30" s="221"/>
      <c r="F30" s="224"/>
      <c r="G30" s="207"/>
      <c r="H30" s="208">
        <f>SUM(C30:F30)</f>
        <v>0</v>
      </c>
      <c r="I30" s="207"/>
      <c r="J30" s="223">
        <f>SUM(H19,H30)</f>
        <v>0</v>
      </c>
      <c r="K30" s="187"/>
      <c r="L30" s="187"/>
      <c r="M30" s="187"/>
      <c r="N30" s="187"/>
      <c r="O30" s="187"/>
      <c r="P30" s="187"/>
      <c r="Q30" s="187"/>
      <c r="R30" s="187"/>
      <c r="S30" s="187"/>
      <c r="T30" s="187"/>
      <c r="U30" s="187"/>
      <c r="V30" s="187"/>
      <c r="W30" s="187"/>
      <c r="X30" s="187"/>
      <c r="Y30" s="187"/>
      <c r="Z30" s="187"/>
      <c r="AA30" s="187"/>
    </row>
    <row r="31" spans="1:27" s="190" customFormat="1" ht="12.75" customHeight="1" x14ac:dyDescent="0.3">
      <c r="A31" s="1033"/>
      <c r="B31" s="220">
        <f>+B20</f>
        <v>2018</v>
      </c>
      <c r="C31" s="732"/>
      <c r="D31" s="221"/>
      <c r="E31" s="221"/>
      <c r="F31" s="224"/>
      <c r="G31" s="207"/>
      <c r="H31" s="208">
        <f>SUM(C31:F31)</f>
        <v>0</v>
      </c>
      <c r="I31" s="207"/>
      <c r="J31" s="223">
        <f>SUM(H20,H31)</f>
        <v>0</v>
      </c>
      <c r="K31" s="187"/>
      <c r="L31" s="187"/>
      <c r="M31" s="187"/>
      <c r="N31" s="187"/>
      <c r="O31" s="187"/>
      <c r="P31" s="187"/>
      <c r="Q31" s="187"/>
      <c r="R31" s="187"/>
      <c r="S31" s="187"/>
      <c r="T31" s="187"/>
      <c r="U31" s="187"/>
      <c r="V31" s="187"/>
      <c r="W31" s="187"/>
      <c r="X31" s="187"/>
      <c r="Y31" s="187"/>
      <c r="Z31" s="187"/>
      <c r="AA31" s="187"/>
    </row>
    <row r="32" spans="1:27" s="190" customFormat="1" ht="12.75" customHeight="1" x14ac:dyDescent="0.3">
      <c r="A32" s="1033" t="s">
        <v>36</v>
      </c>
      <c r="B32" s="220">
        <f>+B21</f>
        <v>2019</v>
      </c>
      <c r="C32" s="470">
        <f>I54</f>
        <v>0</v>
      </c>
      <c r="D32" s="221"/>
      <c r="E32" s="221"/>
      <c r="F32" s="224"/>
      <c r="G32" s="207"/>
      <c r="H32" s="208">
        <f>SUM(C32:F32)</f>
        <v>0</v>
      </c>
      <c r="I32" s="207"/>
      <c r="J32" s="223">
        <f>SUM(H21,H32)</f>
        <v>0</v>
      </c>
      <c r="K32" s="187"/>
      <c r="L32" s="187"/>
      <c r="M32" s="187"/>
      <c r="N32" s="187"/>
      <c r="O32" s="187"/>
      <c r="P32" s="187"/>
      <c r="Q32" s="187"/>
      <c r="R32" s="187"/>
      <c r="S32" s="187"/>
      <c r="T32" s="187"/>
      <c r="U32" s="187"/>
      <c r="V32" s="187"/>
      <c r="W32" s="187"/>
      <c r="X32" s="187"/>
      <c r="Y32" s="187"/>
      <c r="Z32" s="187"/>
      <c r="AA32" s="187"/>
    </row>
    <row r="33" spans="1:27" s="190" customFormat="1" ht="12.75" customHeight="1" x14ac:dyDescent="0.3">
      <c r="A33" s="1033"/>
      <c r="B33" s="220">
        <f>+B22</f>
        <v>2020</v>
      </c>
      <c r="C33" s="470">
        <f>K59</f>
        <v>0</v>
      </c>
      <c r="D33" s="470">
        <f>K60</f>
        <v>0</v>
      </c>
      <c r="E33" s="221"/>
      <c r="F33" s="224"/>
      <c r="G33" s="207"/>
      <c r="H33" s="208">
        <f>SUM(C33:F33)</f>
        <v>0</v>
      </c>
      <c r="I33" s="207"/>
      <c r="J33" s="223">
        <f>SUM(H22,H33)</f>
        <v>0</v>
      </c>
      <c r="K33" s="197" t="s">
        <v>38</v>
      </c>
      <c r="L33" s="187"/>
      <c r="M33" s="187"/>
      <c r="N33" s="187"/>
      <c r="O33" s="187"/>
      <c r="P33" s="187"/>
      <c r="Q33" s="187"/>
      <c r="R33" s="187"/>
      <c r="S33" s="187"/>
      <c r="T33" s="187"/>
      <c r="U33" s="187"/>
      <c r="V33" s="187"/>
      <c r="W33" s="187"/>
      <c r="X33" s="187"/>
      <c r="Y33" s="187"/>
      <c r="Z33" s="187"/>
      <c r="AA33" s="187"/>
    </row>
    <row r="34" spans="1:27" s="199" customFormat="1" ht="16.5" customHeight="1" x14ac:dyDescent="0.35">
      <c r="A34" s="1034"/>
      <c r="B34" s="212" t="s">
        <v>33</v>
      </c>
      <c r="C34" s="225">
        <f>SUM(C30:C33)</f>
        <v>0</v>
      </c>
      <c r="D34" s="225">
        <f>SUM(D30:D33)</f>
        <v>0</v>
      </c>
      <c r="E34" s="225">
        <f>SUM(E30:E33)</f>
        <v>0</v>
      </c>
      <c r="F34" s="225">
        <f>SUM(F30:F33)</f>
        <v>0</v>
      </c>
      <c r="G34" s="207"/>
      <c r="H34" s="216">
        <f>SUM(H30:H33)</f>
        <v>0</v>
      </c>
      <c r="I34" s="215"/>
      <c r="J34" s="216">
        <f>SUM(J30:J33)</f>
        <v>0</v>
      </c>
      <c r="K34" s="198"/>
      <c r="L34" s="198"/>
      <c r="M34" s="198"/>
      <c r="N34" s="198"/>
      <c r="O34" s="198"/>
      <c r="P34" s="198"/>
      <c r="Q34" s="198"/>
      <c r="R34" s="198"/>
      <c r="S34" s="198"/>
      <c r="T34" s="198"/>
      <c r="U34" s="198"/>
      <c r="V34" s="198"/>
      <c r="W34" s="198"/>
      <c r="X34" s="198"/>
      <c r="Y34" s="198"/>
      <c r="Z34" s="198"/>
      <c r="AA34" s="198"/>
    </row>
    <row r="35" spans="1:27" x14ac:dyDescent="0.25">
      <c r="G35" s="207"/>
    </row>
    <row r="36" spans="1:27" ht="13" thickBot="1" x14ac:dyDescent="0.3">
      <c r="G36" s="207"/>
    </row>
    <row r="37" spans="1:27" s="740" customFormat="1" ht="21.75" customHeight="1" thickBot="1" x14ac:dyDescent="0.3">
      <c r="A37" s="1037" t="s">
        <v>368</v>
      </c>
      <c r="B37" s="1038"/>
      <c r="C37" s="1038"/>
      <c r="D37" s="1038"/>
      <c r="E37" s="1038"/>
      <c r="F37" s="1038"/>
      <c r="G37" s="1038"/>
      <c r="H37" s="1038"/>
      <c r="I37" s="1038"/>
      <c r="J37" s="1039"/>
      <c r="K37" s="739"/>
      <c r="L37" s="739"/>
      <c r="M37" s="739"/>
      <c r="N37" s="739"/>
      <c r="O37" s="739"/>
      <c r="P37" s="739"/>
      <c r="Q37" s="739"/>
      <c r="R37" s="739"/>
      <c r="S37" s="739"/>
      <c r="T37" s="739"/>
      <c r="U37" s="739"/>
      <c r="V37" s="739"/>
      <c r="W37" s="739"/>
      <c r="X37" s="739"/>
      <c r="Y37" s="739"/>
      <c r="Z37" s="739"/>
      <c r="AA37" s="739"/>
    </row>
    <row r="39" spans="1:27" ht="13" x14ac:dyDescent="0.3">
      <c r="C39" s="194" t="s">
        <v>342</v>
      </c>
    </row>
    <row r="40" spans="1:27" ht="13" x14ac:dyDescent="0.3">
      <c r="C40" s="194" t="s">
        <v>42</v>
      </c>
    </row>
    <row r="41" spans="1:27" ht="16.5" x14ac:dyDescent="0.35">
      <c r="C41" s="1023" t="s">
        <v>41</v>
      </c>
      <c r="D41" s="1024"/>
      <c r="E41" s="1024"/>
      <c r="F41" s="1025"/>
    </row>
    <row r="42" spans="1:27" x14ac:dyDescent="0.25">
      <c r="C42" s="202">
        <f>+C29</f>
        <v>2017</v>
      </c>
      <c r="D42" s="202">
        <f>+D29</f>
        <v>2018</v>
      </c>
      <c r="E42" s="202">
        <f>+E29</f>
        <v>2019</v>
      </c>
      <c r="F42" s="202">
        <f>+F29</f>
        <v>2020</v>
      </c>
      <c r="H42" s="226" t="s">
        <v>31</v>
      </c>
    </row>
    <row r="43" spans="1:27" ht="13.5" customHeight="1" x14ac:dyDescent="0.25">
      <c r="A43" s="1026" t="s">
        <v>345</v>
      </c>
      <c r="B43" s="674">
        <f>+B30</f>
        <v>2017</v>
      </c>
      <c r="C43" s="470">
        <f>+C19</f>
        <v>0</v>
      </c>
      <c r="D43" s="227"/>
      <c r="E43" s="221"/>
      <c r="F43" s="224"/>
      <c r="H43" s="228">
        <f>SUM(C43:F43)</f>
        <v>0</v>
      </c>
    </row>
    <row r="44" spans="1:27" ht="13.5" customHeight="1" x14ac:dyDescent="0.25">
      <c r="A44" s="1027"/>
      <c r="B44" s="202">
        <f>+B31</f>
        <v>2018</v>
      </c>
      <c r="C44" s="470">
        <f>+C43+C31+C20</f>
        <v>0</v>
      </c>
      <c r="D44" s="470">
        <f>+D20</f>
        <v>0</v>
      </c>
      <c r="E44" s="229"/>
      <c r="F44" s="230"/>
      <c r="H44" s="228">
        <f>SUM(C44:F44)</f>
        <v>0</v>
      </c>
    </row>
    <row r="45" spans="1:27" ht="16.5" customHeight="1" x14ac:dyDescent="0.25">
      <c r="A45" s="1027"/>
      <c r="B45" s="202">
        <f>+B32</f>
        <v>2019</v>
      </c>
      <c r="C45" s="470">
        <f>+C44+C32+C21</f>
        <v>0</v>
      </c>
      <c r="D45" s="470">
        <f>+D44+D32+D21</f>
        <v>0</v>
      </c>
      <c r="E45" s="470">
        <f>+E21</f>
        <v>0</v>
      </c>
      <c r="F45" s="230"/>
      <c r="H45" s="228">
        <f>SUM(C45:F45)</f>
        <v>0</v>
      </c>
    </row>
    <row r="46" spans="1:27" ht="15.75" customHeight="1" x14ac:dyDescent="0.25">
      <c r="A46" s="1028"/>
      <c r="B46" s="202">
        <f>+B33</f>
        <v>2020</v>
      </c>
      <c r="C46" s="470">
        <f>+C45+C33+C22</f>
        <v>0</v>
      </c>
      <c r="D46" s="470">
        <f>+D45+D33+D22</f>
        <v>0</v>
      </c>
      <c r="E46" s="470">
        <f>+E45+E33+E22</f>
        <v>0</v>
      </c>
      <c r="F46" s="470">
        <f>+F22</f>
        <v>0</v>
      </c>
      <c r="H46" s="228">
        <f>SUM(C46:F46)</f>
        <v>0</v>
      </c>
    </row>
    <row r="47" spans="1:27" ht="13" x14ac:dyDescent="0.3">
      <c r="C47" s="194"/>
    </row>
    <row r="48" spans="1:27" ht="13.5" thickBot="1" x14ac:dyDescent="0.35">
      <c r="C48" s="194"/>
    </row>
    <row r="49" spans="1:29" s="190" customFormat="1" ht="22.5" customHeight="1" thickBot="1" x14ac:dyDescent="0.3">
      <c r="A49" s="1037" t="s">
        <v>369</v>
      </c>
      <c r="B49" s="1038"/>
      <c r="C49" s="1038"/>
      <c r="D49" s="1038"/>
      <c r="E49" s="1038"/>
      <c r="F49" s="1038"/>
      <c r="G49" s="1038"/>
      <c r="H49" s="1038"/>
      <c r="I49" s="1038"/>
      <c r="J49" s="1039"/>
      <c r="L49" s="187"/>
      <c r="M49" s="187"/>
      <c r="N49" s="187"/>
      <c r="O49" s="187"/>
      <c r="P49" s="187"/>
      <c r="Q49" s="187"/>
      <c r="R49" s="187"/>
      <c r="S49" s="187"/>
      <c r="T49" s="187"/>
      <c r="U49" s="187"/>
      <c r="V49" s="187"/>
      <c r="W49" s="187"/>
      <c r="X49" s="187"/>
      <c r="Y49" s="187"/>
      <c r="Z49" s="187"/>
      <c r="AA49" s="187"/>
      <c r="AB49" s="187"/>
      <c r="AC49" s="187"/>
    </row>
    <row r="50" spans="1:29" x14ac:dyDescent="0.25">
      <c r="A50" s="20"/>
      <c r="B50" s="20"/>
      <c r="C50" s="20"/>
      <c r="D50" s="20"/>
      <c r="E50" s="20"/>
      <c r="F50" s="20"/>
      <c r="G50" s="20"/>
      <c r="H50" s="20"/>
      <c r="I50" s="20"/>
      <c r="J50" s="20"/>
      <c r="K50" s="20"/>
      <c r="L50" s="610"/>
      <c r="M50" s="20"/>
    </row>
    <row r="51" spans="1:29" ht="13" x14ac:dyDescent="0.3">
      <c r="A51" s="18" t="s">
        <v>362</v>
      </c>
      <c r="B51" s="20"/>
      <c r="C51" s="20"/>
      <c r="D51" s="20"/>
      <c r="E51" s="895">
        <v>2019</v>
      </c>
      <c r="F51" s="20"/>
      <c r="G51" s="20"/>
      <c r="H51" s="20"/>
      <c r="I51" s="20"/>
      <c r="J51" s="20"/>
      <c r="K51" s="20"/>
      <c r="L51" s="610"/>
      <c r="M51" s="20"/>
    </row>
    <row r="52" spans="1:29" x14ac:dyDescent="0.25">
      <c r="A52" s="20"/>
      <c r="B52" s="20"/>
      <c r="C52" s="20"/>
      <c r="D52" s="20"/>
      <c r="E52" s="20"/>
      <c r="F52" s="20"/>
      <c r="G52" s="20"/>
      <c r="H52" s="20"/>
      <c r="I52" s="20"/>
      <c r="J52" s="20"/>
      <c r="K52" s="610"/>
      <c r="L52" s="20"/>
      <c r="M52" s="20"/>
    </row>
    <row r="53" spans="1:29" ht="102" customHeight="1" x14ac:dyDescent="0.25">
      <c r="A53" s="1060" t="s">
        <v>363</v>
      </c>
      <c r="B53" s="1061"/>
      <c r="C53" s="1061"/>
      <c r="D53" s="1062"/>
      <c r="E53" s="599"/>
      <c r="F53" s="675" t="str">
        <f>"Nog af te bouwen regulatoir saldo einde "&amp;E51-1</f>
        <v>Nog af te bouwen regulatoir saldo einde 2018</v>
      </c>
      <c r="G53" s="675" t="str">
        <f>"Afbouw oudste openstaande regulatoir saldo vanaf boekjaar "&amp;E51-3&amp;" en vroeger, door aanwending van compensatie met regulatoir saldo ontstaan over boekjaar "&amp;E51-2</f>
        <v>Afbouw oudste openstaande regulatoir saldo vanaf boekjaar 2016 en vroeger, door aanwending van compensatie met regulatoir saldo ontstaan over boekjaar 2017</v>
      </c>
      <c r="H53" s="675" t="str">
        <f>"Nog af te bouwen regulatoir saldo na compensatie einde "&amp;E51-1</f>
        <v>Nog af te bouwen regulatoir saldo na compensatie einde 2018</v>
      </c>
      <c r="I53" s="675" t="str">
        <f>"Aanwending van 100% van het regulatoir saldo door te rekenen volgens de tariefmethodologie in het boekjaar "&amp;E51</f>
        <v>Aanwending van 100% van het regulatoir saldo door te rekenen volgens de tariefmethodologie in het boekjaar 2019</v>
      </c>
      <c r="J53" s="675" t="str">
        <f>"Nog af te bouwen regulatoir saldo einde "&amp;E51</f>
        <v>Nog af te bouwen regulatoir saldo einde 2019</v>
      </c>
      <c r="K53" s="610"/>
      <c r="L53" s="20"/>
      <c r="M53" s="20"/>
    </row>
    <row r="54" spans="1:29" ht="13" x14ac:dyDescent="0.25">
      <c r="A54" s="1057">
        <v>2017</v>
      </c>
      <c r="B54" s="1058"/>
      <c r="C54" s="1058"/>
      <c r="D54" s="1059"/>
      <c r="E54" s="896"/>
      <c r="F54" s="839">
        <f>+C19+C20</f>
        <v>0</v>
      </c>
      <c r="G54" s="897">
        <v>0</v>
      </c>
      <c r="H54" s="839">
        <f>+F54+G54</f>
        <v>0</v>
      </c>
      <c r="I54" s="839">
        <f>-H54*1</f>
        <v>0</v>
      </c>
      <c r="J54" s="908">
        <f>+I54+F54</f>
        <v>0</v>
      </c>
      <c r="K54" s="610"/>
      <c r="L54" s="20"/>
      <c r="M54" s="20"/>
    </row>
    <row r="55" spans="1:29" x14ac:dyDescent="0.25">
      <c r="A55" s="20"/>
      <c r="B55" s="20"/>
      <c r="C55" s="20"/>
      <c r="D55" s="20"/>
      <c r="E55" s="20"/>
      <c r="F55" s="20"/>
      <c r="G55" s="20"/>
      <c r="H55" s="20"/>
      <c r="I55" s="20"/>
      <c r="J55" s="20"/>
      <c r="K55" s="610"/>
      <c r="L55" s="20"/>
      <c r="M55" s="20"/>
    </row>
    <row r="56" spans="1:29" ht="13" x14ac:dyDescent="0.3">
      <c r="A56" s="18" t="s">
        <v>362</v>
      </c>
      <c r="B56" s="20"/>
      <c r="C56" s="20"/>
      <c r="D56" s="20"/>
      <c r="E56" s="895">
        <v>2020</v>
      </c>
      <c r="F56" s="20"/>
      <c r="G56" s="20"/>
      <c r="H56" s="20"/>
      <c r="I56" s="20"/>
      <c r="J56" s="20"/>
      <c r="K56" s="20"/>
      <c r="L56" s="610"/>
      <c r="M56" s="20"/>
    </row>
    <row r="57" spans="1:29" x14ac:dyDescent="0.25">
      <c r="A57" s="20"/>
      <c r="B57" s="20"/>
      <c r="C57" s="20"/>
      <c r="D57" s="20"/>
      <c r="E57" s="20"/>
      <c r="F57" s="20"/>
      <c r="G57" s="20"/>
      <c r="H57" s="20"/>
      <c r="I57" s="20"/>
      <c r="J57" s="20"/>
      <c r="K57" s="20"/>
      <c r="L57" s="610"/>
      <c r="M57" s="20"/>
    </row>
    <row r="58" spans="1:29" ht="109.5" customHeight="1" x14ac:dyDescent="0.25">
      <c r="A58" s="1060" t="s">
        <v>363</v>
      </c>
      <c r="B58" s="1061"/>
      <c r="C58" s="1061"/>
      <c r="D58" s="1062"/>
      <c r="E58" s="599"/>
      <c r="F58" s="675" t="str">
        <f>"Nog af te bouwen regulatoir saldo einde "&amp;E56-1</f>
        <v>Nog af te bouwen regulatoir saldo einde 2019</v>
      </c>
      <c r="G58" s="675" t="str">
        <f>"Afbouw oudste openstaande regulatoir saldo vanaf boekjaar "&amp;E56-3&amp;" en vroeger, door aanwending van compensatie met regulatoir saldo ontstaan over boekjaar "&amp;E56-2</f>
        <v>Afbouw oudste openstaande regulatoir saldo vanaf boekjaar 2017 en vroeger, door aanwending van compensatie met regulatoir saldo ontstaan over boekjaar 2018</v>
      </c>
      <c r="H58" s="675" t="str">
        <f>"Nog af te bouwen regulatoir saldo na compensatie einde "&amp;E56-1</f>
        <v>Nog af te bouwen regulatoir saldo na compensatie einde 2019</v>
      </c>
      <c r="I58" s="675" t="str">
        <f>"100% van het regulatoir saldo door te rekenen volgens de tariefmethodologie in het boekjaar "&amp;E56</f>
        <v>100% van het regulatoir saldo door te rekenen volgens de tariefmethodologie in het boekjaar 2020</v>
      </c>
      <c r="J58" s="675" t="str">
        <f>"Aanwending van 100% van het regulatoir saldo door te rekenen volgens de tariefmethodologie in het boekjaar "&amp;E56</f>
        <v>Aanwending van 100% van het regulatoir saldo door te rekenen volgens de tariefmethodologie in het boekjaar 2020</v>
      </c>
      <c r="K58" s="675" t="str">
        <f>"Totale afbouw over "&amp;E56</f>
        <v>Totale afbouw over 2020</v>
      </c>
      <c r="L58" s="20"/>
      <c r="M58" s="675" t="str">
        <f>"Nog af te bouwen regulatoir saldo einde "&amp;E56</f>
        <v>Nog af te bouwen regulatoir saldo einde 2020</v>
      </c>
    </row>
    <row r="59" spans="1:29" ht="13" x14ac:dyDescent="0.25">
      <c r="A59" s="1057">
        <v>2017</v>
      </c>
      <c r="B59" s="1058"/>
      <c r="C59" s="1058"/>
      <c r="D59" s="1059"/>
      <c r="E59" s="896"/>
      <c r="F59" s="839">
        <f>J54</f>
        <v>0</v>
      </c>
      <c r="G59" s="897">
        <f>IF(SIGN(F60*J54)&lt;0,IF(F59&lt;&gt;0,-SIGN(F59)*MIN(ABS(F60),ABS(F59)),0),0)</f>
        <v>0</v>
      </c>
      <c r="H59" s="839">
        <f>+F59+G59</f>
        <v>0</v>
      </c>
      <c r="I59" s="698"/>
      <c r="J59" s="897">
        <f>-MIN(ABS(H59),ABS(I61))*SIGN(H59)</f>
        <v>0</v>
      </c>
      <c r="K59" s="898">
        <f>+J59+G59</f>
        <v>0</v>
      </c>
      <c r="L59" s="20"/>
      <c r="M59" s="839">
        <f>+H59+J59</f>
        <v>0</v>
      </c>
    </row>
    <row r="60" spans="1:29" ht="13" x14ac:dyDescent="0.25">
      <c r="A60" s="1057">
        <v>2018</v>
      </c>
      <c r="B60" s="1058"/>
      <c r="C60" s="1058"/>
      <c r="D60" s="1059"/>
      <c r="E60" s="896"/>
      <c r="F60" s="839">
        <f>+D20+D21</f>
        <v>0</v>
      </c>
      <c r="G60" s="898">
        <f>IF(SIGN(F60*J54)&lt;0,-G59,0)</f>
        <v>0</v>
      </c>
      <c r="H60" s="839">
        <f>+F60+G60</f>
        <v>0</v>
      </c>
      <c r="I60" s="698"/>
      <c r="J60" s="897">
        <f>-MIN(ABS(H60),ABS(I61-J59))*SIGN(H60)</f>
        <v>0</v>
      </c>
      <c r="K60" s="898">
        <f>+J60+G60</f>
        <v>0</v>
      </c>
      <c r="L60" s="20"/>
      <c r="M60" s="839">
        <f>+H60+J60</f>
        <v>0</v>
      </c>
    </row>
    <row r="61" spans="1:29" ht="13" x14ac:dyDescent="0.3">
      <c r="A61" s="18"/>
      <c r="B61" s="18"/>
      <c r="C61" s="18"/>
      <c r="D61" s="18"/>
      <c r="E61" s="18"/>
      <c r="F61" s="899">
        <f>SUM(F59:F60)</f>
        <v>0</v>
      </c>
      <c r="G61" s="899">
        <f>SUM(G59:G60)</f>
        <v>0</v>
      </c>
      <c r="H61" s="899">
        <f>SUM(H59:H60)</f>
        <v>0</v>
      </c>
      <c r="I61" s="899">
        <f>-H61*1</f>
        <v>0</v>
      </c>
      <c r="J61" s="900">
        <f>SUM(J59:J60)</f>
        <v>0</v>
      </c>
      <c r="K61" s="901"/>
      <c r="L61" s="18"/>
      <c r="M61" s="899">
        <f>SUM(M59:M60)</f>
        <v>0</v>
      </c>
    </row>
    <row r="62" spans="1:29" x14ac:dyDescent="0.25">
      <c r="A62" s="20"/>
      <c r="B62" s="20"/>
      <c r="C62" s="20"/>
      <c r="D62" s="20"/>
      <c r="E62" s="20"/>
      <c r="F62" s="20"/>
      <c r="G62" s="20"/>
      <c r="H62" s="20"/>
      <c r="I62" s="20"/>
      <c r="J62" s="20"/>
      <c r="K62" s="20"/>
      <c r="L62" s="394"/>
      <c r="M62" s="20"/>
    </row>
    <row r="63" spans="1:29" x14ac:dyDescent="0.25">
      <c r="A63" s="20"/>
      <c r="B63" s="20"/>
      <c r="C63" s="20"/>
      <c r="D63" s="20"/>
      <c r="E63" s="20"/>
      <c r="F63" s="20"/>
      <c r="G63" s="20"/>
      <c r="H63" s="20"/>
      <c r="I63" s="20"/>
      <c r="J63" s="20"/>
      <c r="K63" s="20"/>
      <c r="L63" s="394"/>
      <c r="M63" s="20"/>
    </row>
    <row r="64" spans="1:29" ht="13" x14ac:dyDescent="0.3">
      <c r="A64" s="18" t="s">
        <v>364</v>
      </c>
      <c r="B64" s="381"/>
      <c r="C64" s="381"/>
      <c r="D64" s="381"/>
      <c r="E64" s="20"/>
      <c r="F64" s="20"/>
      <c r="G64" s="20"/>
      <c r="H64" s="20"/>
      <c r="I64" s="20"/>
      <c r="J64" s="20"/>
      <c r="K64" s="20"/>
      <c r="L64" s="394"/>
      <c r="M64" s="20"/>
    </row>
    <row r="65" spans="1:13" ht="13" x14ac:dyDescent="0.3">
      <c r="A65" s="18"/>
      <c r="B65" s="381"/>
      <c r="C65" s="381"/>
      <c r="D65" s="381"/>
      <c r="E65" s="20"/>
      <c r="F65" s="20"/>
      <c r="G65" s="20"/>
      <c r="H65" s="20"/>
      <c r="I65" s="20"/>
      <c r="J65" s="20"/>
      <c r="K65" s="20"/>
      <c r="L65" s="394"/>
      <c r="M65" s="20"/>
    </row>
    <row r="66" spans="1:13" ht="13" x14ac:dyDescent="0.3">
      <c r="A66" s="864">
        <f>E51</f>
        <v>2019</v>
      </c>
      <c r="B66" s="906">
        <f>I54</f>
        <v>0</v>
      </c>
      <c r="C66" s="381"/>
      <c r="D66" s="381"/>
      <c r="E66" s="20"/>
      <c r="F66" s="20"/>
      <c r="G66" s="20"/>
      <c r="H66" s="20"/>
      <c r="I66" s="20"/>
      <c r="J66" s="20"/>
      <c r="K66" s="20"/>
      <c r="L66" s="394"/>
      <c r="M66" s="20"/>
    </row>
    <row r="67" spans="1:13" ht="13" x14ac:dyDescent="0.3">
      <c r="A67" s="864">
        <f>E56</f>
        <v>2020</v>
      </c>
      <c r="B67" s="906">
        <f>J61</f>
        <v>0</v>
      </c>
      <c r="C67" s="381"/>
      <c r="D67" s="381"/>
      <c r="E67" s="20"/>
      <c r="F67" s="20"/>
      <c r="G67" s="20"/>
      <c r="H67" s="20"/>
      <c r="I67" s="20"/>
      <c r="J67" s="20"/>
      <c r="K67" s="20"/>
      <c r="L67" s="394"/>
      <c r="M67" s="20"/>
    </row>
    <row r="131" spans="2:7" x14ac:dyDescent="0.25">
      <c r="F131" s="187">
        <v>2018</v>
      </c>
    </row>
    <row r="134" spans="2:7" x14ac:dyDescent="0.25">
      <c r="B134" s="187">
        <v>2017</v>
      </c>
      <c r="G134" s="187">
        <f>G66</f>
        <v>0</v>
      </c>
    </row>
    <row r="136" spans="2:7" x14ac:dyDescent="0.25">
      <c r="F136" s="187">
        <v>2019</v>
      </c>
    </row>
    <row r="139" spans="2:7" x14ac:dyDescent="0.25">
      <c r="B139" s="187">
        <v>2017</v>
      </c>
    </row>
    <row r="140" spans="2:7" x14ac:dyDescent="0.25">
      <c r="B140" s="187">
        <v>2018</v>
      </c>
      <c r="G140" s="187">
        <f>H67</f>
        <v>0</v>
      </c>
    </row>
    <row r="143" spans="2:7" x14ac:dyDescent="0.25">
      <c r="F143" s="187">
        <v>2020</v>
      </c>
    </row>
    <row r="146" spans="2:7" x14ac:dyDescent="0.25">
      <c r="B146" s="187">
        <v>2017</v>
      </c>
    </row>
    <row r="147" spans="2:7" x14ac:dyDescent="0.25">
      <c r="B147" s="187">
        <v>2018</v>
      </c>
    </row>
    <row r="148" spans="2:7" x14ac:dyDescent="0.25">
      <c r="B148" s="187">
        <v>2019</v>
      </c>
      <c r="G148" s="187" t="e">
        <f>#REF!</f>
        <v>#REF!</v>
      </c>
    </row>
  </sheetData>
  <mergeCells count="18">
    <mergeCell ref="A60:D60"/>
    <mergeCell ref="A43:A46"/>
    <mergeCell ref="A18:B18"/>
    <mergeCell ref="A19:A23"/>
    <mergeCell ref="C28:F28"/>
    <mergeCell ref="A54:D54"/>
    <mergeCell ref="A58:D58"/>
    <mergeCell ref="A30:A34"/>
    <mergeCell ref="C41:F41"/>
    <mergeCell ref="A37:J37"/>
    <mergeCell ref="A49:J49"/>
    <mergeCell ref="A53:D53"/>
    <mergeCell ref="A4:H4"/>
    <mergeCell ref="C6:F6"/>
    <mergeCell ref="C17:F17"/>
    <mergeCell ref="A1:H1"/>
    <mergeCell ref="A59:D59"/>
    <mergeCell ref="A13:J13"/>
  </mergeCells>
  <conditionalFormatting sqref="C9:C10">
    <cfRule type="expression" dxfId="16" priority="7" stopIfTrue="1">
      <formula>$L$1="ex-post"</formula>
    </cfRule>
  </conditionalFormatting>
  <conditionalFormatting sqref="C9:C10">
    <cfRule type="expression" dxfId="15" priority="6" stopIfTrue="1">
      <formula>$L$2="ex-post"</formula>
    </cfRule>
  </conditionalFormatting>
  <conditionalFormatting sqref="C15:C16">
    <cfRule type="expression" dxfId="14" priority="5" stopIfTrue="1">
      <formula>$L$1="ex-post"</formula>
    </cfRule>
  </conditionalFormatting>
  <conditionalFormatting sqref="C15:C16">
    <cfRule type="expression" dxfId="13" priority="4" stopIfTrue="1">
      <formula>$L$2="ex-post"</formula>
    </cfRule>
  </conditionalFormatting>
  <conditionalFormatting sqref="A49:XFD49">
    <cfRule type="expression" dxfId="12" priority="1" stopIfTrue="1">
      <formula>$C$7="gas"</formula>
    </cfRule>
  </conditionalFormatting>
  <pageMargins left="0.78740157480314965" right="0.78740157480314965" top="0.98425196850393704" bottom="0.98425196850393704" header="0.51181102362204722" footer="0.51181102362204722"/>
  <pageSetup paperSize="8" scale="92" orientation="landscape" r:id="rId1"/>
  <headerFooter alignWithMargins="0">
    <oddFooter>&amp;CPage &amp;P</oddFooter>
  </headerFooter>
  <ignoredErrors>
    <ignoredError sqref="H29 J2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Blad9"/>
  <dimension ref="A1:S254"/>
  <sheetViews>
    <sheetView zoomScale="80" zoomScaleNormal="80" workbookViewId="0">
      <selection activeCell="G253" sqref="G253"/>
    </sheetView>
  </sheetViews>
  <sheetFormatPr defaultColWidth="9.1796875" defaultRowHeight="12.5" x14ac:dyDescent="0.25"/>
  <cols>
    <col min="1" max="1" width="4.1796875" style="20" customWidth="1"/>
    <col min="2" max="4" width="9.1796875" style="20"/>
    <col min="5" max="5" width="24.26953125" style="20" customWidth="1"/>
    <col min="6" max="6" width="4" style="20" customWidth="1"/>
    <col min="7" max="7" width="47.81640625" style="20" customWidth="1"/>
    <col min="8" max="9" width="41.81640625" style="20" customWidth="1"/>
    <col min="10" max="10" width="42" style="20" customWidth="1"/>
    <col min="11" max="13" width="43.453125" style="20" customWidth="1"/>
    <col min="14" max="14" width="3.54296875" style="20" customWidth="1"/>
    <col min="15" max="15" width="43.453125" style="610" customWidth="1"/>
    <col min="16" max="16384" width="9.1796875" style="20"/>
  </cols>
  <sheetData>
    <row r="1" spans="1:19" ht="37.5" customHeight="1" thickBot="1" x14ac:dyDescent="0.45">
      <c r="A1" s="1113" t="s">
        <v>377</v>
      </c>
      <c r="B1" s="1114"/>
      <c r="C1" s="1114"/>
      <c r="D1" s="1114"/>
      <c r="E1" s="1114"/>
      <c r="F1" s="1114"/>
      <c r="G1" s="1114"/>
      <c r="H1" s="1114"/>
      <c r="I1" s="1114"/>
      <c r="J1" s="1115"/>
      <c r="K1" s="380"/>
      <c r="L1" s="593">
        <f>+TITELBLAD!E18</f>
        <v>2019</v>
      </c>
      <c r="M1" s="593" t="str">
        <f>+TITELBLAD!F18</f>
        <v>ex-ante</v>
      </c>
      <c r="N1" s="106"/>
      <c r="O1" s="106">
        <f>+TITELBLAD!H18</f>
        <v>0</v>
      </c>
      <c r="P1" s="106"/>
      <c r="Q1" s="106"/>
      <c r="R1" s="106"/>
      <c r="S1" s="106"/>
    </row>
    <row r="2" spans="1:19" ht="13" x14ac:dyDescent="0.3">
      <c r="D2" s="394">
        <f>TITELBLAD!E18</f>
        <v>2019</v>
      </c>
      <c r="E2" s="394" t="str">
        <f>TITELBLAD!F18</f>
        <v>ex-ante</v>
      </c>
      <c r="H2" s="194"/>
      <c r="I2" s="188"/>
      <c r="J2" s="188"/>
      <c r="K2" s="188"/>
      <c r="L2" s="491"/>
      <c r="M2" s="491"/>
      <c r="O2" s="233"/>
    </row>
    <row r="3" spans="1:19" ht="13.5" thickBot="1" x14ac:dyDescent="0.35">
      <c r="B3" s="107" t="s">
        <v>26</v>
      </c>
      <c r="H3" s="194"/>
      <c r="I3" s="188"/>
      <c r="J3" s="188"/>
      <c r="K3" s="188"/>
      <c r="L3" s="491"/>
      <c r="M3" s="491"/>
      <c r="O3" s="233"/>
    </row>
    <row r="4" spans="1:19" ht="17.25" customHeight="1" thickBot="1" x14ac:dyDescent="0.35">
      <c r="A4" s="109"/>
      <c r="B4" s="1162" t="str">
        <f>+TITELBLAD!C7</f>
        <v>Naam distributienetbeheerder</v>
      </c>
      <c r="C4" s="1163"/>
      <c r="D4" s="1163"/>
      <c r="E4" s="1164"/>
      <c r="H4" s="194"/>
      <c r="I4" s="188"/>
      <c r="J4" s="188"/>
      <c r="K4" s="188"/>
      <c r="L4" s="188"/>
      <c r="M4" s="188"/>
      <c r="O4" s="233"/>
    </row>
    <row r="5" spans="1:19" ht="13" x14ac:dyDescent="0.3">
      <c r="H5" s="194"/>
      <c r="I5" s="188"/>
      <c r="J5" s="188"/>
      <c r="K5" s="378" t="s">
        <v>376</v>
      </c>
      <c r="L5" s="188"/>
      <c r="M5" s="188"/>
      <c r="O5" s="233"/>
    </row>
    <row r="6" spans="1:19" ht="13.5" thickBot="1" x14ac:dyDescent="0.35">
      <c r="B6" s="107" t="s">
        <v>27</v>
      </c>
      <c r="H6" s="194"/>
      <c r="I6" s="188"/>
      <c r="J6" s="188"/>
      <c r="K6" s="188"/>
      <c r="L6" s="188"/>
      <c r="M6" s="188"/>
      <c r="O6" s="233"/>
    </row>
    <row r="7" spans="1:19" ht="17.25" customHeight="1" thickBot="1" x14ac:dyDescent="0.35">
      <c r="A7" s="109"/>
      <c r="B7" s="1165" t="str">
        <f>+TITELBLAD!C12</f>
        <v>elektriciteit</v>
      </c>
      <c r="C7" s="1166"/>
      <c r="D7" s="1166"/>
      <c r="E7" s="1167"/>
      <c r="H7" s="194"/>
      <c r="I7" s="188"/>
      <c r="J7" s="188"/>
      <c r="K7" s="188"/>
      <c r="L7" s="188"/>
      <c r="M7" s="188"/>
      <c r="O7" s="233"/>
    </row>
    <row r="8" spans="1:19" ht="13" x14ac:dyDescent="0.3">
      <c r="H8" s="194"/>
      <c r="I8" s="188"/>
      <c r="J8" s="188"/>
      <c r="K8" s="188"/>
      <c r="L8" s="188"/>
      <c r="M8" s="188"/>
      <c r="O8" s="233"/>
    </row>
    <row r="10" spans="1:19" ht="13" x14ac:dyDescent="0.3">
      <c r="B10" s="110" t="s">
        <v>253</v>
      </c>
    </row>
    <row r="11" spans="1:19" ht="13" x14ac:dyDescent="0.3">
      <c r="B11" s="381" t="s">
        <v>378</v>
      </c>
    </row>
    <row r="12" spans="1:19" ht="15.75" customHeight="1" x14ac:dyDescent="0.25">
      <c r="B12" s="1016" t="s">
        <v>379</v>
      </c>
      <c r="C12" s="1016"/>
      <c r="D12" s="1016"/>
      <c r="E12" s="1016"/>
      <c r="F12" s="1016"/>
      <c r="G12" s="1016"/>
      <c r="H12" s="1016"/>
      <c r="I12" s="947"/>
      <c r="J12" s="947"/>
    </row>
    <row r="13" spans="1:19" ht="13" x14ac:dyDescent="0.3">
      <c r="B13" s="381"/>
    </row>
    <row r="14" spans="1:19" ht="12.75" customHeight="1" x14ac:dyDescent="0.3">
      <c r="B14" s="381"/>
    </row>
    <row r="15" spans="1:19" ht="13" x14ac:dyDescent="0.3">
      <c r="B15" s="381"/>
      <c r="G15" s="434" t="s">
        <v>339</v>
      </c>
      <c r="H15" s="383"/>
      <c r="I15" s="382"/>
    </row>
    <row r="16" spans="1:19" ht="13" x14ac:dyDescent="0.3">
      <c r="G16" s="434" t="s">
        <v>145</v>
      </c>
      <c r="H16" s="383"/>
      <c r="I16" s="382"/>
    </row>
    <row r="17" spans="2:15" s="48" customFormat="1" ht="72" customHeight="1" x14ac:dyDescent="0.25">
      <c r="B17" s="1060" t="s">
        <v>380</v>
      </c>
      <c r="C17" s="1061"/>
      <c r="D17" s="1061"/>
      <c r="E17" s="1062"/>
      <c r="F17" s="162"/>
      <c r="G17" s="675" t="s">
        <v>385</v>
      </c>
      <c r="H17" s="675" t="s">
        <v>385</v>
      </c>
      <c r="I17" s="675">
        <f t="shared" ref="I17:M17" si="0">+I35</f>
        <v>2010</v>
      </c>
      <c r="J17" s="675">
        <f t="shared" si="0"/>
        <v>2011</v>
      </c>
      <c r="K17" s="675">
        <f t="shared" si="0"/>
        <v>2012</v>
      </c>
      <c r="L17" s="675">
        <f t="shared" si="0"/>
        <v>2013</v>
      </c>
      <c r="M17" s="675">
        <f t="shared" si="0"/>
        <v>2014</v>
      </c>
      <c r="O17" s="675" t="s">
        <v>31</v>
      </c>
    </row>
    <row r="18" spans="2:15" s="130" customFormat="1" ht="12" customHeight="1" x14ac:dyDescent="0.25">
      <c r="B18" s="384"/>
      <c r="C18" s="384"/>
      <c r="D18" s="384"/>
      <c r="E18" s="384"/>
      <c r="F18" s="385"/>
      <c r="G18" s="925"/>
      <c r="H18" s="926"/>
      <c r="I18" s="387"/>
      <c r="O18" s="714"/>
    </row>
    <row r="19" spans="2:15" s="685" customFormat="1" ht="28.5" customHeight="1" x14ac:dyDescent="0.25">
      <c r="B19" s="1081" t="s">
        <v>131</v>
      </c>
      <c r="C19" s="1081"/>
      <c r="D19" s="1081"/>
      <c r="E19" s="1081"/>
      <c r="F19" s="688"/>
      <c r="G19" s="927"/>
      <c r="H19" s="927"/>
      <c r="I19" s="689">
        <v>0</v>
      </c>
      <c r="J19" s="689">
        <v>0</v>
      </c>
      <c r="K19" s="689">
        <v>0</v>
      </c>
      <c r="L19" s="689">
        <v>0</v>
      </c>
      <c r="M19" s="689">
        <v>0</v>
      </c>
      <c r="O19" s="842">
        <f>SUM(I19:M19)</f>
        <v>0</v>
      </c>
    </row>
    <row r="20" spans="2:15" s="685" customFormat="1" ht="26.25" customHeight="1" x14ac:dyDescent="0.25">
      <c r="B20" s="1081" t="s">
        <v>132</v>
      </c>
      <c r="C20" s="1081"/>
      <c r="D20" s="1081"/>
      <c r="E20" s="1081"/>
      <c r="F20" s="688"/>
      <c r="G20" s="927"/>
      <c r="H20" s="927"/>
      <c r="I20" s="689">
        <v>0</v>
      </c>
      <c r="J20" s="689">
        <v>0</v>
      </c>
      <c r="K20" s="689">
        <v>0</v>
      </c>
      <c r="L20" s="689">
        <v>0</v>
      </c>
      <c r="M20" s="689">
        <v>0</v>
      </c>
      <c r="O20" s="842">
        <f t="shared" ref="O20:O30" si="1">SUM(I20:M20)</f>
        <v>0</v>
      </c>
    </row>
    <row r="21" spans="2:15" s="685" customFormat="1" ht="27.75" customHeight="1" x14ac:dyDescent="0.25">
      <c r="B21" s="1081" t="s">
        <v>138</v>
      </c>
      <c r="C21" s="1081"/>
      <c r="D21" s="1081"/>
      <c r="E21" s="1081"/>
      <c r="F21" s="688"/>
      <c r="G21" s="927"/>
      <c r="H21" s="927"/>
      <c r="I21" s="689">
        <v>0</v>
      </c>
      <c r="J21" s="689">
        <v>0</v>
      </c>
      <c r="K21" s="689">
        <v>0</v>
      </c>
      <c r="L21" s="689">
        <v>0</v>
      </c>
      <c r="M21" s="689">
        <v>0</v>
      </c>
      <c r="O21" s="842">
        <f t="shared" si="1"/>
        <v>0</v>
      </c>
    </row>
    <row r="22" spans="2:15" s="685" customFormat="1" ht="24.75" customHeight="1" x14ac:dyDescent="0.25">
      <c r="B22" s="1081" t="s">
        <v>133</v>
      </c>
      <c r="C22" s="1081"/>
      <c r="D22" s="1081"/>
      <c r="E22" s="1081"/>
      <c r="F22" s="688"/>
      <c r="G22" s="927"/>
      <c r="H22" s="927"/>
      <c r="I22" s="689">
        <v>0</v>
      </c>
      <c r="J22" s="689">
        <v>0</v>
      </c>
      <c r="K22" s="689">
        <v>0</v>
      </c>
      <c r="L22" s="689">
        <v>0</v>
      </c>
      <c r="M22" s="689">
        <v>0</v>
      </c>
      <c r="O22" s="842">
        <f t="shared" si="1"/>
        <v>0</v>
      </c>
    </row>
    <row r="23" spans="2:15" s="685" customFormat="1" ht="27.75" customHeight="1" x14ac:dyDescent="0.25">
      <c r="B23" s="1081" t="s">
        <v>277</v>
      </c>
      <c r="C23" s="1081"/>
      <c r="D23" s="1081"/>
      <c r="E23" s="1081"/>
      <c r="F23" s="688"/>
      <c r="G23" s="927"/>
      <c r="H23" s="927"/>
      <c r="I23" s="689">
        <v>0</v>
      </c>
      <c r="J23" s="689">
        <v>0</v>
      </c>
      <c r="K23" s="689">
        <v>0</v>
      </c>
      <c r="L23" s="689">
        <v>0</v>
      </c>
      <c r="M23" s="689">
        <v>0</v>
      </c>
      <c r="O23" s="842">
        <f t="shared" si="1"/>
        <v>0</v>
      </c>
    </row>
    <row r="24" spans="2:15" s="685" customFormat="1" ht="27" customHeight="1" x14ac:dyDescent="0.25">
      <c r="B24" s="1081" t="s">
        <v>239</v>
      </c>
      <c r="C24" s="1081"/>
      <c r="D24" s="1081"/>
      <c r="E24" s="1081"/>
      <c r="F24" s="688"/>
      <c r="G24" s="927"/>
      <c r="H24" s="927"/>
      <c r="I24" s="689">
        <v>0</v>
      </c>
      <c r="J24" s="689">
        <v>0</v>
      </c>
      <c r="K24" s="689">
        <v>0</v>
      </c>
      <c r="L24" s="689">
        <v>0</v>
      </c>
      <c r="M24" s="689">
        <v>0</v>
      </c>
      <c r="O24" s="842">
        <f t="shared" si="1"/>
        <v>0</v>
      </c>
    </row>
    <row r="25" spans="2:15" s="685" customFormat="1" ht="18.75" customHeight="1" x14ac:dyDescent="0.25">
      <c r="B25" s="1081" t="s">
        <v>237</v>
      </c>
      <c r="C25" s="1081"/>
      <c r="D25" s="1081"/>
      <c r="E25" s="1081"/>
      <c r="F25" s="688"/>
      <c r="G25" s="927"/>
      <c r="H25" s="927"/>
      <c r="I25" s="689">
        <v>0</v>
      </c>
      <c r="J25" s="689">
        <v>0</v>
      </c>
      <c r="K25" s="689">
        <v>0</v>
      </c>
      <c r="L25" s="689">
        <v>0</v>
      </c>
      <c r="M25" s="689">
        <v>0</v>
      </c>
      <c r="O25" s="842">
        <f t="shared" si="1"/>
        <v>0</v>
      </c>
    </row>
    <row r="26" spans="2:15" s="685" customFormat="1" ht="27" customHeight="1" x14ac:dyDescent="0.25">
      <c r="B26" s="1081" t="s">
        <v>287</v>
      </c>
      <c r="C26" s="1081"/>
      <c r="D26" s="1081"/>
      <c r="E26" s="1081"/>
      <c r="F26" s="688"/>
      <c r="G26" s="927"/>
      <c r="H26" s="927"/>
      <c r="I26" s="689">
        <v>0</v>
      </c>
      <c r="J26" s="689">
        <v>0</v>
      </c>
      <c r="K26" s="689">
        <v>0</v>
      </c>
      <c r="L26" s="689">
        <v>0</v>
      </c>
      <c r="M26" s="689">
        <v>0</v>
      </c>
      <c r="O26" s="842">
        <f t="shared" si="1"/>
        <v>0</v>
      </c>
    </row>
    <row r="27" spans="2:15" s="685" customFormat="1" ht="28.5" customHeight="1" x14ac:dyDescent="0.25">
      <c r="B27" s="1082" t="s">
        <v>134</v>
      </c>
      <c r="C27" s="1083"/>
      <c r="D27" s="1083"/>
      <c r="E27" s="1084"/>
      <c r="F27" s="688"/>
      <c r="G27" s="927"/>
      <c r="H27" s="927"/>
      <c r="I27" s="689">
        <v>0</v>
      </c>
      <c r="J27" s="689">
        <v>0</v>
      </c>
      <c r="K27" s="689">
        <v>0</v>
      </c>
      <c r="L27" s="689">
        <v>0</v>
      </c>
      <c r="M27" s="689">
        <v>0</v>
      </c>
      <c r="O27" s="842">
        <f t="shared" si="1"/>
        <v>0</v>
      </c>
    </row>
    <row r="28" spans="2:15" s="685" customFormat="1" ht="18.75" customHeight="1" x14ac:dyDescent="0.25">
      <c r="B28" s="1082" t="s">
        <v>276</v>
      </c>
      <c r="C28" s="1083"/>
      <c r="D28" s="1083"/>
      <c r="E28" s="1084"/>
      <c r="F28" s="688"/>
      <c r="G28" s="927"/>
      <c r="H28" s="927"/>
      <c r="I28" s="689">
        <v>0</v>
      </c>
      <c r="J28" s="689">
        <v>0</v>
      </c>
      <c r="K28" s="689">
        <v>0</v>
      </c>
      <c r="L28" s="689">
        <v>0</v>
      </c>
      <c r="M28" s="689">
        <v>0</v>
      </c>
      <c r="O28" s="842">
        <f t="shared" si="1"/>
        <v>0</v>
      </c>
    </row>
    <row r="29" spans="2:15" x14ac:dyDescent="0.25">
      <c r="B29" s="48"/>
      <c r="C29" s="48"/>
      <c r="D29" s="48"/>
      <c r="E29" s="48"/>
      <c r="F29" s="48"/>
      <c r="G29" s="928"/>
      <c r="H29" s="928"/>
      <c r="I29" s="678"/>
      <c r="J29" s="678"/>
      <c r="K29" s="678"/>
      <c r="L29" s="678"/>
      <c r="M29" s="678"/>
      <c r="O29" s="955"/>
    </row>
    <row r="30" spans="2:15" s="685" customFormat="1" ht="23.25" customHeight="1" x14ac:dyDescent="0.25">
      <c r="B30" s="1071" t="s">
        <v>33</v>
      </c>
      <c r="C30" s="1072"/>
      <c r="D30" s="1072"/>
      <c r="E30" s="1073"/>
      <c r="F30" s="700"/>
      <c r="G30" s="929"/>
      <c r="H30" s="929"/>
      <c r="I30" s="701">
        <f t="shared" ref="I30:M30" si="2">SUM(I19:I28)</f>
        <v>0</v>
      </c>
      <c r="J30" s="701">
        <f t="shared" si="2"/>
        <v>0</v>
      </c>
      <c r="K30" s="701">
        <f t="shared" si="2"/>
        <v>0</v>
      </c>
      <c r="L30" s="701">
        <f t="shared" si="2"/>
        <v>0</v>
      </c>
      <c r="M30" s="701">
        <f t="shared" si="2"/>
        <v>0</v>
      </c>
      <c r="O30" s="701">
        <f t="shared" si="1"/>
        <v>0</v>
      </c>
    </row>
    <row r="33" spans="2:15" ht="13" x14ac:dyDescent="0.3">
      <c r="G33" s="435" t="s">
        <v>56</v>
      </c>
    </row>
    <row r="34" spans="2:15" ht="13" x14ac:dyDescent="0.3">
      <c r="G34" s="435" t="s">
        <v>57</v>
      </c>
    </row>
    <row r="35" spans="2:15" s="48" customFormat="1" ht="60" customHeight="1" x14ac:dyDescent="0.25">
      <c r="B35" s="1060" t="s">
        <v>381</v>
      </c>
      <c r="C35" s="1061"/>
      <c r="D35" s="1061"/>
      <c r="E35" s="1062"/>
      <c r="F35" s="162"/>
      <c r="G35" s="675" t="s">
        <v>385</v>
      </c>
      <c r="H35" s="675" t="s">
        <v>385</v>
      </c>
      <c r="I35" s="675">
        <v>2010</v>
      </c>
      <c r="J35" s="675">
        <f t="shared" ref="J35:M35" si="3">+I35+1</f>
        <v>2011</v>
      </c>
      <c r="K35" s="675">
        <f t="shared" si="3"/>
        <v>2012</v>
      </c>
      <c r="L35" s="675">
        <f t="shared" si="3"/>
        <v>2013</v>
      </c>
      <c r="M35" s="675">
        <f t="shared" si="3"/>
        <v>2014</v>
      </c>
      <c r="O35" s="675" t="s">
        <v>31</v>
      </c>
    </row>
    <row r="36" spans="2:15" s="130" customFormat="1" ht="12" customHeight="1" x14ac:dyDescent="0.25">
      <c r="B36" s="384"/>
      <c r="C36" s="384"/>
      <c r="D36" s="384"/>
      <c r="E36" s="384"/>
      <c r="F36" s="385"/>
      <c r="G36" s="925"/>
      <c r="H36" s="926"/>
      <c r="I36" s="387"/>
      <c r="O36" s="714"/>
    </row>
    <row r="37" spans="2:15" ht="36" customHeight="1" x14ac:dyDescent="0.25">
      <c r="B37" s="1077" t="s">
        <v>131</v>
      </c>
      <c r="C37" s="1078"/>
      <c r="D37" s="1078"/>
      <c r="E37" s="1079"/>
      <c r="F37" s="162"/>
      <c r="G37" s="930"/>
      <c r="H37" s="930"/>
      <c r="I37" s="686"/>
      <c r="J37" s="686"/>
      <c r="K37" s="686"/>
      <c r="L37" s="686"/>
      <c r="M37" s="686"/>
      <c r="O37" s="686"/>
    </row>
    <row r="38" spans="2:15" ht="28.5" customHeight="1" x14ac:dyDescent="0.25">
      <c r="B38" s="1068" t="str">
        <f>"per 31/12/"&amp;$M$35</f>
        <v>per 31/12/2014</v>
      </c>
      <c r="C38" s="1069"/>
      <c r="D38" s="1069"/>
      <c r="E38" s="1070"/>
      <c r="F38" s="162"/>
      <c r="G38" s="931"/>
      <c r="H38" s="931"/>
      <c r="I38" s="677">
        <v>0</v>
      </c>
      <c r="J38" s="677">
        <v>0</v>
      </c>
      <c r="K38" s="677">
        <v>0</v>
      </c>
      <c r="L38" s="677">
        <v>0</v>
      </c>
      <c r="M38" s="677">
        <v>0</v>
      </c>
      <c r="O38" s="679">
        <f t="shared" ref="O38:O44" si="4">SUM(I38:M38)</f>
        <v>0</v>
      </c>
    </row>
    <row r="39" spans="2:15" ht="28.5" customHeight="1" x14ac:dyDescent="0.25">
      <c r="B39" s="1068" t="str">
        <f>"per 31/12/"&amp;$M$35+1</f>
        <v>per 31/12/2015</v>
      </c>
      <c r="C39" s="1069"/>
      <c r="D39" s="1069"/>
      <c r="E39" s="1070"/>
      <c r="F39" s="162"/>
      <c r="G39" s="931"/>
      <c r="H39" s="931"/>
      <c r="I39" s="677">
        <v>0</v>
      </c>
      <c r="J39" s="677">
        <v>0</v>
      </c>
      <c r="K39" s="677">
        <v>0</v>
      </c>
      <c r="L39" s="677">
        <v>0</v>
      </c>
      <c r="M39" s="677">
        <v>0</v>
      </c>
      <c r="O39" s="679">
        <f t="shared" si="4"/>
        <v>0</v>
      </c>
    </row>
    <row r="40" spans="2:15" ht="28.5" customHeight="1" x14ac:dyDescent="0.25">
      <c r="B40" s="1068" t="str">
        <f>"per 31/12/"&amp;$M$35+2</f>
        <v>per 31/12/2016</v>
      </c>
      <c r="C40" s="1069"/>
      <c r="D40" s="1069"/>
      <c r="E40" s="1070"/>
      <c r="F40" s="162"/>
      <c r="G40" s="931"/>
      <c r="H40" s="931"/>
      <c r="I40" s="677">
        <v>0</v>
      </c>
      <c r="J40" s="677">
        <v>0</v>
      </c>
      <c r="K40" s="677">
        <v>0</v>
      </c>
      <c r="L40" s="677">
        <v>0</v>
      </c>
      <c r="M40" s="677">
        <v>0</v>
      </c>
      <c r="O40" s="679">
        <f t="shared" si="4"/>
        <v>0</v>
      </c>
    </row>
    <row r="41" spans="2:15" ht="28.5" customHeight="1" x14ac:dyDescent="0.25">
      <c r="B41" s="1068" t="str">
        <f>"per 31/12/"&amp;$M$35+3</f>
        <v>per 31/12/2017</v>
      </c>
      <c r="C41" s="1069"/>
      <c r="D41" s="1069"/>
      <c r="E41" s="1070"/>
      <c r="F41" s="162"/>
      <c r="G41" s="931"/>
      <c r="H41" s="931"/>
      <c r="I41" s="677">
        <v>0</v>
      </c>
      <c r="J41" s="677">
        <v>0</v>
      </c>
      <c r="K41" s="677">
        <v>0</v>
      </c>
      <c r="L41" s="677">
        <v>0</v>
      </c>
      <c r="M41" s="677">
        <v>0</v>
      </c>
      <c r="O41" s="679">
        <f t="shared" si="4"/>
        <v>0</v>
      </c>
    </row>
    <row r="42" spans="2:15" ht="28.5" customHeight="1" x14ac:dyDescent="0.25">
      <c r="B42" s="1068" t="str">
        <f>"per 31/12/"&amp;$M$35+4</f>
        <v>per 31/12/2018</v>
      </c>
      <c r="C42" s="1069"/>
      <c r="D42" s="1069"/>
      <c r="E42" s="1070"/>
      <c r="F42" s="162"/>
      <c r="G42" s="931"/>
      <c r="H42" s="931"/>
      <c r="I42" s="677">
        <v>0</v>
      </c>
      <c r="J42" s="677">
        <v>0</v>
      </c>
      <c r="K42" s="677">
        <v>0</v>
      </c>
      <c r="L42" s="677">
        <v>0</v>
      </c>
      <c r="M42" s="677">
        <v>0</v>
      </c>
      <c r="O42" s="679">
        <f t="shared" si="4"/>
        <v>0</v>
      </c>
    </row>
    <row r="43" spans="2:15" ht="28.5" customHeight="1" x14ac:dyDescent="0.25">
      <c r="B43" s="1068" t="str">
        <f>"per 31/12/"&amp;$M$35+5</f>
        <v>per 31/12/2019</v>
      </c>
      <c r="C43" s="1069"/>
      <c r="D43" s="1069"/>
      <c r="E43" s="1070"/>
      <c r="F43" s="162"/>
      <c r="G43" s="931"/>
      <c r="H43" s="931"/>
      <c r="I43" s="677">
        <v>0</v>
      </c>
      <c r="J43" s="677">
        <v>0</v>
      </c>
      <c r="K43" s="677">
        <v>0</v>
      </c>
      <c r="L43" s="677">
        <v>0</v>
      </c>
      <c r="M43" s="677">
        <v>0</v>
      </c>
      <c r="O43" s="679">
        <f t="shared" si="4"/>
        <v>0</v>
      </c>
    </row>
    <row r="44" spans="2:15" ht="28.5" customHeight="1" x14ac:dyDescent="0.25">
      <c r="B44" s="1068" t="str">
        <f>"per 31/12/"&amp;$M$35+6</f>
        <v>per 31/12/2020</v>
      </c>
      <c r="C44" s="1069"/>
      <c r="D44" s="1069"/>
      <c r="E44" s="1070"/>
      <c r="F44" s="162"/>
      <c r="G44" s="931"/>
      <c r="H44" s="931"/>
      <c r="I44" s="677">
        <v>0</v>
      </c>
      <c r="J44" s="677">
        <v>0</v>
      </c>
      <c r="K44" s="677">
        <v>0</v>
      </c>
      <c r="L44" s="677">
        <v>0</v>
      </c>
      <c r="M44" s="677">
        <v>0</v>
      </c>
      <c r="O44" s="679">
        <f t="shared" si="4"/>
        <v>0</v>
      </c>
    </row>
    <row r="45" spans="2:15" ht="27.75" customHeight="1" x14ac:dyDescent="0.25">
      <c r="B45" s="1077" t="s">
        <v>132</v>
      </c>
      <c r="C45" s="1078"/>
      <c r="D45" s="1078"/>
      <c r="E45" s="1079"/>
      <c r="F45" s="162"/>
      <c r="G45" s="930"/>
      <c r="H45" s="930"/>
      <c r="I45" s="686"/>
      <c r="J45" s="686"/>
      <c r="K45" s="686"/>
      <c r="L45" s="686"/>
      <c r="M45" s="686"/>
      <c r="O45" s="686"/>
    </row>
    <row r="46" spans="2:15" ht="28.5" customHeight="1" x14ac:dyDescent="0.25">
      <c r="B46" s="1068" t="str">
        <f>"per 31/12/"&amp;$M$35</f>
        <v>per 31/12/2014</v>
      </c>
      <c r="C46" s="1069"/>
      <c r="D46" s="1069"/>
      <c r="E46" s="1070"/>
      <c r="F46" s="162"/>
      <c r="G46" s="931"/>
      <c r="H46" s="931"/>
      <c r="I46" s="677">
        <v>0</v>
      </c>
      <c r="J46" s="677">
        <v>0</v>
      </c>
      <c r="K46" s="677">
        <v>0</v>
      </c>
      <c r="L46" s="677">
        <v>0</v>
      </c>
      <c r="M46" s="677">
        <v>0</v>
      </c>
      <c r="O46" s="679">
        <f t="shared" ref="O46:O52" si="5">SUM(I46:M46)</f>
        <v>0</v>
      </c>
    </row>
    <row r="47" spans="2:15" ht="28.5" customHeight="1" x14ac:dyDescent="0.25">
      <c r="B47" s="1068" t="str">
        <f>"per 31/12/"&amp;$M$35+1</f>
        <v>per 31/12/2015</v>
      </c>
      <c r="C47" s="1069"/>
      <c r="D47" s="1069"/>
      <c r="E47" s="1070"/>
      <c r="F47" s="162"/>
      <c r="G47" s="931"/>
      <c r="H47" s="931"/>
      <c r="I47" s="677">
        <v>0</v>
      </c>
      <c r="J47" s="677">
        <v>0</v>
      </c>
      <c r="K47" s="677">
        <v>0</v>
      </c>
      <c r="L47" s="677">
        <v>0</v>
      </c>
      <c r="M47" s="677">
        <v>0</v>
      </c>
      <c r="O47" s="679">
        <f t="shared" si="5"/>
        <v>0</v>
      </c>
    </row>
    <row r="48" spans="2:15" ht="28.5" customHeight="1" x14ac:dyDescent="0.25">
      <c r="B48" s="1068" t="str">
        <f>"per 31/12/"&amp;$M$35+2</f>
        <v>per 31/12/2016</v>
      </c>
      <c r="C48" s="1069"/>
      <c r="D48" s="1069"/>
      <c r="E48" s="1070"/>
      <c r="F48" s="162"/>
      <c r="G48" s="931"/>
      <c r="H48" s="931"/>
      <c r="I48" s="677">
        <v>0</v>
      </c>
      <c r="J48" s="677">
        <v>0</v>
      </c>
      <c r="K48" s="677">
        <v>0</v>
      </c>
      <c r="L48" s="677">
        <v>0</v>
      </c>
      <c r="M48" s="677">
        <v>0</v>
      </c>
      <c r="O48" s="679">
        <f t="shared" si="5"/>
        <v>0</v>
      </c>
    </row>
    <row r="49" spans="2:15" ht="28.5" customHeight="1" x14ac:dyDescent="0.25">
      <c r="B49" s="1068" t="str">
        <f>"per 31/12/"&amp;$M$35+3</f>
        <v>per 31/12/2017</v>
      </c>
      <c r="C49" s="1069"/>
      <c r="D49" s="1069"/>
      <c r="E49" s="1070"/>
      <c r="F49" s="162"/>
      <c r="G49" s="931"/>
      <c r="H49" s="931"/>
      <c r="I49" s="677">
        <v>0</v>
      </c>
      <c r="J49" s="677">
        <v>0</v>
      </c>
      <c r="K49" s="677">
        <v>0</v>
      </c>
      <c r="L49" s="677">
        <v>0</v>
      </c>
      <c r="M49" s="677">
        <v>0</v>
      </c>
      <c r="O49" s="679">
        <f t="shared" si="5"/>
        <v>0</v>
      </c>
    </row>
    <row r="50" spans="2:15" ht="28.5" customHeight="1" x14ac:dyDescent="0.25">
      <c r="B50" s="1068" t="str">
        <f>"per 31/12/"&amp;$M$35+4</f>
        <v>per 31/12/2018</v>
      </c>
      <c r="C50" s="1069"/>
      <c r="D50" s="1069"/>
      <c r="E50" s="1070"/>
      <c r="F50" s="162"/>
      <c r="G50" s="931"/>
      <c r="H50" s="931"/>
      <c r="I50" s="677">
        <v>0</v>
      </c>
      <c r="J50" s="677">
        <v>0</v>
      </c>
      <c r="K50" s="677">
        <v>0</v>
      </c>
      <c r="L50" s="677">
        <v>0</v>
      </c>
      <c r="M50" s="677">
        <v>0</v>
      </c>
      <c r="O50" s="679">
        <f t="shared" si="5"/>
        <v>0</v>
      </c>
    </row>
    <row r="51" spans="2:15" ht="28.5" customHeight="1" x14ac:dyDescent="0.25">
      <c r="B51" s="1068" t="str">
        <f>"per 31/12/"&amp;$M$35+5</f>
        <v>per 31/12/2019</v>
      </c>
      <c r="C51" s="1069"/>
      <c r="D51" s="1069"/>
      <c r="E51" s="1070"/>
      <c r="F51" s="162"/>
      <c r="G51" s="931"/>
      <c r="H51" s="931"/>
      <c r="I51" s="677">
        <v>0</v>
      </c>
      <c r="J51" s="677">
        <v>0</v>
      </c>
      <c r="K51" s="677">
        <v>0</v>
      </c>
      <c r="L51" s="677">
        <v>0</v>
      </c>
      <c r="M51" s="677">
        <v>0</v>
      </c>
      <c r="O51" s="679">
        <f t="shared" si="5"/>
        <v>0</v>
      </c>
    </row>
    <row r="52" spans="2:15" ht="28.5" customHeight="1" x14ac:dyDescent="0.25">
      <c r="B52" s="1068" t="str">
        <f>"per 31/12/"&amp;$M$35+6</f>
        <v>per 31/12/2020</v>
      </c>
      <c r="C52" s="1069"/>
      <c r="D52" s="1069"/>
      <c r="E52" s="1070"/>
      <c r="F52" s="162"/>
      <c r="G52" s="931"/>
      <c r="H52" s="931"/>
      <c r="I52" s="677">
        <v>0</v>
      </c>
      <c r="J52" s="677">
        <v>0</v>
      </c>
      <c r="K52" s="677">
        <v>0</v>
      </c>
      <c r="L52" s="677">
        <v>0</v>
      </c>
      <c r="M52" s="677">
        <v>0</v>
      </c>
      <c r="O52" s="679">
        <f t="shared" si="5"/>
        <v>0</v>
      </c>
    </row>
    <row r="53" spans="2:15" ht="27.75" customHeight="1" x14ac:dyDescent="0.25">
      <c r="B53" s="1077" t="s">
        <v>275</v>
      </c>
      <c r="C53" s="1078"/>
      <c r="D53" s="1078"/>
      <c r="E53" s="1079"/>
      <c r="F53" s="162"/>
      <c r="G53" s="930"/>
      <c r="H53" s="930"/>
      <c r="I53" s="686"/>
      <c r="J53" s="686"/>
      <c r="K53" s="686"/>
      <c r="L53" s="686"/>
      <c r="M53" s="686"/>
      <c r="O53" s="686"/>
    </row>
    <row r="54" spans="2:15" ht="28.5" customHeight="1" x14ac:dyDescent="0.25">
      <c r="B54" s="1068" t="str">
        <f>"per 31/12/"&amp;$M$35</f>
        <v>per 31/12/2014</v>
      </c>
      <c r="C54" s="1069"/>
      <c r="D54" s="1069"/>
      <c r="E54" s="1070"/>
      <c r="F54" s="162"/>
      <c r="G54" s="931"/>
      <c r="H54" s="931"/>
      <c r="I54" s="677">
        <v>0</v>
      </c>
      <c r="J54" s="677">
        <v>0</v>
      </c>
      <c r="K54" s="677">
        <v>0</v>
      </c>
      <c r="L54" s="677">
        <v>0</v>
      </c>
      <c r="M54" s="677">
        <v>0</v>
      </c>
      <c r="O54" s="679">
        <f t="shared" ref="O54:O60" si="6">SUM(I54:M54)</f>
        <v>0</v>
      </c>
    </row>
    <row r="55" spans="2:15" ht="28.5" customHeight="1" x14ac:dyDescent="0.25">
      <c r="B55" s="1068" t="str">
        <f>"per 31/12/"&amp;$M$35+1</f>
        <v>per 31/12/2015</v>
      </c>
      <c r="C55" s="1069"/>
      <c r="D55" s="1069"/>
      <c r="E55" s="1070"/>
      <c r="F55" s="162"/>
      <c r="G55" s="931"/>
      <c r="H55" s="931"/>
      <c r="I55" s="677">
        <v>0</v>
      </c>
      <c r="J55" s="677">
        <v>0</v>
      </c>
      <c r="K55" s="677">
        <v>0</v>
      </c>
      <c r="L55" s="677">
        <v>0</v>
      </c>
      <c r="M55" s="677">
        <v>0</v>
      </c>
      <c r="O55" s="679">
        <f t="shared" si="6"/>
        <v>0</v>
      </c>
    </row>
    <row r="56" spans="2:15" ht="28.5" customHeight="1" x14ac:dyDescent="0.25">
      <c r="B56" s="1068" t="str">
        <f>"per 31/12/"&amp;$M$35+2</f>
        <v>per 31/12/2016</v>
      </c>
      <c r="C56" s="1069"/>
      <c r="D56" s="1069"/>
      <c r="E56" s="1070"/>
      <c r="F56" s="162"/>
      <c r="G56" s="931"/>
      <c r="H56" s="931"/>
      <c r="I56" s="677">
        <v>0</v>
      </c>
      <c r="J56" s="677">
        <v>0</v>
      </c>
      <c r="K56" s="677">
        <v>0</v>
      </c>
      <c r="L56" s="677">
        <v>0</v>
      </c>
      <c r="M56" s="677">
        <v>0</v>
      </c>
      <c r="O56" s="679">
        <f t="shared" si="6"/>
        <v>0</v>
      </c>
    </row>
    <row r="57" spans="2:15" ht="28.5" customHeight="1" x14ac:dyDescent="0.25">
      <c r="B57" s="1068" t="str">
        <f>"per 31/12/"&amp;$M$35+3</f>
        <v>per 31/12/2017</v>
      </c>
      <c r="C57" s="1069"/>
      <c r="D57" s="1069"/>
      <c r="E57" s="1070"/>
      <c r="F57" s="162"/>
      <c r="G57" s="931"/>
      <c r="H57" s="931"/>
      <c r="I57" s="677">
        <v>0</v>
      </c>
      <c r="J57" s="677">
        <v>0</v>
      </c>
      <c r="K57" s="677">
        <v>0</v>
      </c>
      <c r="L57" s="677">
        <v>0</v>
      </c>
      <c r="M57" s="677">
        <v>0</v>
      </c>
      <c r="O57" s="679">
        <f t="shared" si="6"/>
        <v>0</v>
      </c>
    </row>
    <row r="58" spans="2:15" ht="28.5" customHeight="1" x14ac:dyDescent="0.25">
      <c r="B58" s="1068" t="str">
        <f>"per 31/12/"&amp;$M$35+4</f>
        <v>per 31/12/2018</v>
      </c>
      <c r="C58" s="1069"/>
      <c r="D58" s="1069"/>
      <c r="E58" s="1070"/>
      <c r="F58" s="162"/>
      <c r="G58" s="931"/>
      <c r="H58" s="931"/>
      <c r="I58" s="677">
        <v>0</v>
      </c>
      <c r="J58" s="677">
        <v>0</v>
      </c>
      <c r="K58" s="677">
        <v>0</v>
      </c>
      <c r="L58" s="677">
        <v>0</v>
      </c>
      <c r="M58" s="677">
        <v>0</v>
      </c>
      <c r="O58" s="679">
        <f t="shared" si="6"/>
        <v>0</v>
      </c>
    </row>
    <row r="59" spans="2:15" ht="28.5" customHeight="1" x14ac:dyDescent="0.25">
      <c r="B59" s="1068" t="str">
        <f>"per 31/12/"&amp;$M$35+5</f>
        <v>per 31/12/2019</v>
      </c>
      <c r="C59" s="1069"/>
      <c r="D59" s="1069"/>
      <c r="E59" s="1070"/>
      <c r="F59" s="162"/>
      <c r="G59" s="931"/>
      <c r="H59" s="931"/>
      <c r="I59" s="677">
        <v>0</v>
      </c>
      <c r="J59" s="677">
        <v>0</v>
      </c>
      <c r="K59" s="677">
        <v>0</v>
      </c>
      <c r="L59" s="677">
        <v>0</v>
      </c>
      <c r="M59" s="677">
        <v>0</v>
      </c>
      <c r="O59" s="679">
        <f t="shared" si="6"/>
        <v>0</v>
      </c>
    </row>
    <row r="60" spans="2:15" ht="28.5" customHeight="1" x14ac:dyDescent="0.25">
      <c r="B60" s="1068" t="str">
        <f>"per 31/12/"&amp;$M$35+6</f>
        <v>per 31/12/2020</v>
      </c>
      <c r="C60" s="1069"/>
      <c r="D60" s="1069"/>
      <c r="E60" s="1070"/>
      <c r="F60" s="162"/>
      <c r="G60" s="931"/>
      <c r="H60" s="931"/>
      <c r="I60" s="677">
        <v>0</v>
      </c>
      <c r="J60" s="677">
        <v>0</v>
      </c>
      <c r="K60" s="677">
        <v>0</v>
      </c>
      <c r="L60" s="677">
        <v>0</v>
      </c>
      <c r="M60" s="677">
        <v>0</v>
      </c>
      <c r="O60" s="679">
        <f t="shared" si="6"/>
        <v>0</v>
      </c>
    </row>
    <row r="61" spans="2:15" ht="30" customHeight="1" x14ac:dyDescent="0.25">
      <c r="B61" s="1077" t="s">
        <v>133</v>
      </c>
      <c r="C61" s="1078"/>
      <c r="D61" s="1078"/>
      <c r="E61" s="1079"/>
      <c r="F61" s="162"/>
      <c r="G61" s="930"/>
      <c r="H61" s="930"/>
      <c r="I61" s="686"/>
      <c r="J61" s="686"/>
      <c r="K61" s="686"/>
      <c r="L61" s="686"/>
      <c r="M61" s="686"/>
      <c r="O61" s="686"/>
    </row>
    <row r="62" spans="2:15" ht="28.5" customHeight="1" x14ac:dyDescent="0.25">
      <c r="B62" s="1068" t="str">
        <f>"per 31/12/"&amp;$M$35</f>
        <v>per 31/12/2014</v>
      </c>
      <c r="C62" s="1069"/>
      <c r="D62" s="1069"/>
      <c r="E62" s="1070"/>
      <c r="F62" s="162"/>
      <c r="G62" s="931"/>
      <c r="H62" s="931"/>
      <c r="I62" s="677">
        <v>0</v>
      </c>
      <c r="J62" s="677">
        <v>0</v>
      </c>
      <c r="K62" s="677">
        <v>0</v>
      </c>
      <c r="L62" s="677">
        <v>0</v>
      </c>
      <c r="M62" s="677">
        <v>0</v>
      </c>
      <c r="O62" s="679">
        <f t="shared" ref="O62:O68" si="7">SUM(I62:M62)</f>
        <v>0</v>
      </c>
    </row>
    <row r="63" spans="2:15" ht="28.5" customHeight="1" x14ac:dyDescent="0.25">
      <c r="B63" s="1068" t="str">
        <f>"per 31/12/"&amp;$M$35+1</f>
        <v>per 31/12/2015</v>
      </c>
      <c r="C63" s="1069"/>
      <c r="D63" s="1069"/>
      <c r="E63" s="1070"/>
      <c r="F63" s="162"/>
      <c r="G63" s="931"/>
      <c r="H63" s="931"/>
      <c r="I63" s="677">
        <v>0</v>
      </c>
      <c r="J63" s="677">
        <v>0</v>
      </c>
      <c r="K63" s="677">
        <v>0</v>
      </c>
      <c r="L63" s="677">
        <v>0</v>
      </c>
      <c r="M63" s="677">
        <v>0</v>
      </c>
      <c r="O63" s="679">
        <f t="shared" si="7"/>
        <v>0</v>
      </c>
    </row>
    <row r="64" spans="2:15" ht="28.5" customHeight="1" x14ac:dyDescent="0.25">
      <c r="B64" s="1068" t="str">
        <f>"per 31/12/"&amp;$M$35+2</f>
        <v>per 31/12/2016</v>
      </c>
      <c r="C64" s="1069"/>
      <c r="D64" s="1069"/>
      <c r="E64" s="1070"/>
      <c r="F64" s="162"/>
      <c r="G64" s="931"/>
      <c r="H64" s="931"/>
      <c r="I64" s="677">
        <v>0</v>
      </c>
      <c r="J64" s="677">
        <v>0</v>
      </c>
      <c r="K64" s="677">
        <v>0</v>
      </c>
      <c r="L64" s="677">
        <v>0</v>
      </c>
      <c r="M64" s="677">
        <v>0</v>
      </c>
      <c r="O64" s="679">
        <f t="shared" si="7"/>
        <v>0</v>
      </c>
    </row>
    <row r="65" spans="2:15" ht="28.5" customHeight="1" x14ac:dyDescent="0.25">
      <c r="B65" s="1068" t="str">
        <f>"per 31/12/"&amp;$M$35+3</f>
        <v>per 31/12/2017</v>
      </c>
      <c r="C65" s="1069"/>
      <c r="D65" s="1069"/>
      <c r="E65" s="1070"/>
      <c r="F65" s="162"/>
      <c r="G65" s="931"/>
      <c r="H65" s="931"/>
      <c r="I65" s="677">
        <v>0</v>
      </c>
      <c r="J65" s="677">
        <v>0</v>
      </c>
      <c r="K65" s="677">
        <v>0</v>
      </c>
      <c r="L65" s="677">
        <v>0</v>
      </c>
      <c r="M65" s="677">
        <v>0</v>
      </c>
      <c r="O65" s="679">
        <f t="shared" si="7"/>
        <v>0</v>
      </c>
    </row>
    <row r="66" spans="2:15" ht="28.5" customHeight="1" x14ac:dyDescent="0.25">
      <c r="B66" s="1068" t="str">
        <f>"per 31/12/"&amp;$M$35+4</f>
        <v>per 31/12/2018</v>
      </c>
      <c r="C66" s="1069"/>
      <c r="D66" s="1069"/>
      <c r="E66" s="1070"/>
      <c r="F66" s="162"/>
      <c r="G66" s="931"/>
      <c r="H66" s="931"/>
      <c r="I66" s="677">
        <v>0</v>
      </c>
      <c r="J66" s="677">
        <v>0</v>
      </c>
      <c r="K66" s="677">
        <v>0</v>
      </c>
      <c r="L66" s="677">
        <v>0</v>
      </c>
      <c r="M66" s="677">
        <v>0</v>
      </c>
      <c r="O66" s="679">
        <f t="shared" si="7"/>
        <v>0</v>
      </c>
    </row>
    <row r="67" spans="2:15" ht="28.5" customHeight="1" x14ac:dyDescent="0.25">
      <c r="B67" s="1068" t="str">
        <f>"per 31/12/"&amp;$M$35+5</f>
        <v>per 31/12/2019</v>
      </c>
      <c r="C67" s="1069"/>
      <c r="D67" s="1069"/>
      <c r="E67" s="1070"/>
      <c r="F67" s="162"/>
      <c r="G67" s="931"/>
      <c r="H67" s="931"/>
      <c r="I67" s="677">
        <v>0</v>
      </c>
      <c r="J67" s="677">
        <v>0</v>
      </c>
      <c r="K67" s="677">
        <v>0</v>
      </c>
      <c r="L67" s="677">
        <v>0</v>
      </c>
      <c r="M67" s="677">
        <v>0</v>
      </c>
      <c r="O67" s="679">
        <f t="shared" si="7"/>
        <v>0</v>
      </c>
    </row>
    <row r="68" spans="2:15" ht="28.5" customHeight="1" x14ac:dyDescent="0.25">
      <c r="B68" s="1068" t="str">
        <f>"per 31/12/"&amp;$M$35+6</f>
        <v>per 31/12/2020</v>
      </c>
      <c r="C68" s="1069"/>
      <c r="D68" s="1069"/>
      <c r="E68" s="1070"/>
      <c r="F68" s="162"/>
      <c r="G68" s="931"/>
      <c r="H68" s="931"/>
      <c r="I68" s="677">
        <v>0</v>
      </c>
      <c r="J68" s="677">
        <v>0</v>
      </c>
      <c r="K68" s="677">
        <v>0</v>
      </c>
      <c r="L68" s="677">
        <v>0</v>
      </c>
      <c r="M68" s="677">
        <v>0</v>
      </c>
      <c r="O68" s="679">
        <f t="shared" si="7"/>
        <v>0</v>
      </c>
    </row>
    <row r="69" spans="2:15" ht="44.25" customHeight="1" x14ac:dyDescent="0.25">
      <c r="B69" s="1077" t="s">
        <v>277</v>
      </c>
      <c r="C69" s="1078"/>
      <c r="D69" s="1078"/>
      <c r="E69" s="1079"/>
      <c r="F69" s="162"/>
      <c r="G69" s="930"/>
      <c r="H69" s="930"/>
      <c r="I69" s="686"/>
      <c r="J69" s="686"/>
      <c r="K69" s="686"/>
      <c r="L69" s="686"/>
      <c r="M69" s="686"/>
      <c r="O69" s="686"/>
    </row>
    <row r="70" spans="2:15" ht="28.5" customHeight="1" x14ac:dyDescent="0.25">
      <c r="B70" s="1068" t="str">
        <f>"per 31/12/"&amp;$M$35</f>
        <v>per 31/12/2014</v>
      </c>
      <c r="C70" s="1069"/>
      <c r="D70" s="1069"/>
      <c r="E70" s="1070"/>
      <c r="F70" s="162"/>
      <c r="G70" s="931"/>
      <c r="H70" s="931"/>
      <c r="I70" s="677">
        <v>0</v>
      </c>
      <c r="J70" s="677">
        <v>0</v>
      </c>
      <c r="K70" s="677">
        <v>0</v>
      </c>
      <c r="L70" s="677">
        <v>0</v>
      </c>
      <c r="M70" s="677">
        <v>0</v>
      </c>
      <c r="O70" s="679">
        <f t="shared" ref="O70:O76" si="8">SUM(I70:M70)</f>
        <v>0</v>
      </c>
    </row>
    <row r="71" spans="2:15" ht="28.5" customHeight="1" x14ac:dyDescent="0.25">
      <c r="B71" s="1068" t="str">
        <f>"per 31/12/"&amp;$M$35+1</f>
        <v>per 31/12/2015</v>
      </c>
      <c r="C71" s="1069"/>
      <c r="D71" s="1069"/>
      <c r="E71" s="1070"/>
      <c r="F71" s="162"/>
      <c r="G71" s="931"/>
      <c r="H71" s="931"/>
      <c r="I71" s="677">
        <v>0</v>
      </c>
      <c r="J71" s="677">
        <v>0</v>
      </c>
      <c r="K71" s="677">
        <v>0</v>
      </c>
      <c r="L71" s="677">
        <v>0</v>
      </c>
      <c r="M71" s="677">
        <v>0</v>
      </c>
      <c r="O71" s="679">
        <f t="shared" si="8"/>
        <v>0</v>
      </c>
    </row>
    <row r="72" spans="2:15" ht="28.5" customHeight="1" x14ac:dyDescent="0.25">
      <c r="B72" s="1068" t="str">
        <f>"per 31/12/"&amp;$M$35+2</f>
        <v>per 31/12/2016</v>
      </c>
      <c r="C72" s="1069"/>
      <c r="D72" s="1069"/>
      <c r="E72" s="1070"/>
      <c r="F72" s="162"/>
      <c r="G72" s="931"/>
      <c r="H72" s="931"/>
      <c r="I72" s="677">
        <v>0</v>
      </c>
      <c r="J72" s="677">
        <v>0</v>
      </c>
      <c r="K72" s="677">
        <v>0</v>
      </c>
      <c r="L72" s="677">
        <v>0</v>
      </c>
      <c r="M72" s="677">
        <v>0</v>
      </c>
      <c r="O72" s="679">
        <f t="shared" si="8"/>
        <v>0</v>
      </c>
    </row>
    <row r="73" spans="2:15" ht="28.5" customHeight="1" x14ac:dyDescent="0.25">
      <c r="B73" s="1068" t="str">
        <f>"per 31/12/"&amp;$M$35+3</f>
        <v>per 31/12/2017</v>
      </c>
      <c r="C73" s="1069"/>
      <c r="D73" s="1069"/>
      <c r="E73" s="1070"/>
      <c r="F73" s="162"/>
      <c r="G73" s="931"/>
      <c r="H73" s="931"/>
      <c r="I73" s="677">
        <v>0</v>
      </c>
      <c r="J73" s="677">
        <v>0</v>
      </c>
      <c r="K73" s="677">
        <v>0</v>
      </c>
      <c r="L73" s="677">
        <v>0</v>
      </c>
      <c r="M73" s="677">
        <v>0</v>
      </c>
      <c r="O73" s="679">
        <f t="shared" si="8"/>
        <v>0</v>
      </c>
    </row>
    <row r="74" spans="2:15" ht="28.5" customHeight="1" x14ac:dyDescent="0.25">
      <c r="B74" s="1068" t="str">
        <f>"per 31/12/"&amp;$M$35+4</f>
        <v>per 31/12/2018</v>
      </c>
      <c r="C74" s="1069"/>
      <c r="D74" s="1069"/>
      <c r="E74" s="1070"/>
      <c r="F74" s="162"/>
      <c r="G74" s="931"/>
      <c r="H74" s="931"/>
      <c r="I74" s="677">
        <v>0</v>
      </c>
      <c r="J74" s="677">
        <v>0</v>
      </c>
      <c r="K74" s="677">
        <v>0</v>
      </c>
      <c r="L74" s="677">
        <v>0</v>
      </c>
      <c r="M74" s="677">
        <v>0</v>
      </c>
      <c r="O74" s="679">
        <f t="shared" si="8"/>
        <v>0</v>
      </c>
    </row>
    <row r="75" spans="2:15" ht="28.5" customHeight="1" x14ac:dyDescent="0.25">
      <c r="B75" s="1068" t="str">
        <f>"per 31/12/"&amp;$M$35+5</f>
        <v>per 31/12/2019</v>
      </c>
      <c r="C75" s="1069"/>
      <c r="D75" s="1069"/>
      <c r="E75" s="1070"/>
      <c r="F75" s="162"/>
      <c r="G75" s="931"/>
      <c r="H75" s="931"/>
      <c r="I75" s="677">
        <v>0</v>
      </c>
      <c r="J75" s="677">
        <v>0</v>
      </c>
      <c r="K75" s="677">
        <v>0</v>
      </c>
      <c r="L75" s="677">
        <v>0</v>
      </c>
      <c r="M75" s="677">
        <v>0</v>
      </c>
      <c r="O75" s="679">
        <f t="shared" si="8"/>
        <v>0</v>
      </c>
    </row>
    <row r="76" spans="2:15" ht="28.5" customHeight="1" x14ac:dyDescent="0.25">
      <c r="B76" s="1068" t="str">
        <f>"per 31/12/"&amp;$M$35+6</f>
        <v>per 31/12/2020</v>
      </c>
      <c r="C76" s="1069"/>
      <c r="D76" s="1069"/>
      <c r="E76" s="1070"/>
      <c r="F76" s="162"/>
      <c r="G76" s="931"/>
      <c r="H76" s="931"/>
      <c r="I76" s="677">
        <v>0</v>
      </c>
      <c r="J76" s="677">
        <v>0</v>
      </c>
      <c r="K76" s="677">
        <v>0</v>
      </c>
      <c r="L76" s="677">
        <v>0</v>
      </c>
      <c r="M76" s="677">
        <v>0</v>
      </c>
      <c r="O76" s="679">
        <f t="shared" si="8"/>
        <v>0</v>
      </c>
    </row>
    <row r="77" spans="2:15" ht="33" customHeight="1" x14ac:dyDescent="0.25">
      <c r="B77" s="1077" t="s">
        <v>239</v>
      </c>
      <c r="C77" s="1078"/>
      <c r="D77" s="1078"/>
      <c r="E77" s="1079"/>
      <c r="F77" s="162"/>
      <c r="G77" s="930"/>
      <c r="H77" s="930"/>
      <c r="I77" s="686"/>
      <c r="J77" s="686"/>
      <c r="K77" s="686"/>
      <c r="L77" s="686"/>
      <c r="M77" s="686"/>
      <c r="O77" s="686"/>
    </row>
    <row r="78" spans="2:15" ht="28.5" customHeight="1" x14ac:dyDescent="0.25">
      <c r="B78" s="1068" t="str">
        <f>"per 31/12/"&amp;$M$35</f>
        <v>per 31/12/2014</v>
      </c>
      <c r="C78" s="1069"/>
      <c r="D78" s="1069"/>
      <c r="E78" s="1070"/>
      <c r="F78" s="162"/>
      <c r="G78" s="931"/>
      <c r="H78" s="931"/>
      <c r="I78" s="677">
        <v>0</v>
      </c>
      <c r="J78" s="677">
        <v>0</v>
      </c>
      <c r="K78" s="677">
        <v>0</v>
      </c>
      <c r="L78" s="677">
        <v>0</v>
      </c>
      <c r="M78" s="677">
        <v>0</v>
      </c>
      <c r="O78" s="679">
        <f t="shared" ref="O78:O84" si="9">SUM(I78:M78)</f>
        <v>0</v>
      </c>
    </row>
    <row r="79" spans="2:15" ht="28.5" customHeight="1" x14ac:dyDescent="0.25">
      <c r="B79" s="1068" t="str">
        <f>"per 31/12/"&amp;$M$35+1</f>
        <v>per 31/12/2015</v>
      </c>
      <c r="C79" s="1069"/>
      <c r="D79" s="1069"/>
      <c r="E79" s="1070"/>
      <c r="F79" s="162"/>
      <c r="G79" s="931"/>
      <c r="H79" s="931"/>
      <c r="I79" s="677">
        <v>0</v>
      </c>
      <c r="J79" s="677">
        <v>0</v>
      </c>
      <c r="K79" s="677">
        <v>0</v>
      </c>
      <c r="L79" s="677">
        <v>0</v>
      </c>
      <c r="M79" s="677">
        <v>0</v>
      </c>
      <c r="O79" s="679">
        <f t="shared" si="9"/>
        <v>0</v>
      </c>
    </row>
    <row r="80" spans="2:15" ht="28.5" customHeight="1" x14ac:dyDescent="0.25">
      <c r="B80" s="1068" t="str">
        <f>"per 31/12/"&amp;$M$35+2</f>
        <v>per 31/12/2016</v>
      </c>
      <c r="C80" s="1069"/>
      <c r="D80" s="1069"/>
      <c r="E80" s="1070"/>
      <c r="F80" s="162"/>
      <c r="G80" s="931"/>
      <c r="H80" s="931"/>
      <c r="I80" s="677">
        <v>0</v>
      </c>
      <c r="J80" s="677">
        <v>0</v>
      </c>
      <c r="K80" s="677">
        <v>0</v>
      </c>
      <c r="L80" s="677">
        <v>0</v>
      </c>
      <c r="M80" s="677">
        <v>0</v>
      </c>
      <c r="O80" s="679">
        <f t="shared" si="9"/>
        <v>0</v>
      </c>
    </row>
    <row r="81" spans="2:15" ht="28.5" customHeight="1" x14ac:dyDescent="0.25">
      <c r="B81" s="1068" t="str">
        <f>"per 31/12/"&amp;$M$35+3</f>
        <v>per 31/12/2017</v>
      </c>
      <c r="C81" s="1069"/>
      <c r="D81" s="1069"/>
      <c r="E81" s="1070"/>
      <c r="F81" s="162"/>
      <c r="G81" s="931"/>
      <c r="H81" s="931"/>
      <c r="I81" s="677">
        <v>0</v>
      </c>
      <c r="J81" s="677">
        <v>0</v>
      </c>
      <c r="K81" s="677">
        <v>0</v>
      </c>
      <c r="L81" s="677">
        <v>0</v>
      </c>
      <c r="M81" s="677">
        <v>0</v>
      </c>
      <c r="O81" s="679">
        <f t="shared" si="9"/>
        <v>0</v>
      </c>
    </row>
    <row r="82" spans="2:15" ht="28.5" customHeight="1" x14ac:dyDescent="0.25">
      <c r="B82" s="1068" t="str">
        <f>"per 31/12/"&amp;$M$35+4</f>
        <v>per 31/12/2018</v>
      </c>
      <c r="C82" s="1069"/>
      <c r="D82" s="1069"/>
      <c r="E82" s="1070"/>
      <c r="F82" s="162"/>
      <c r="G82" s="931"/>
      <c r="H82" s="931"/>
      <c r="I82" s="677">
        <v>0</v>
      </c>
      <c r="J82" s="677">
        <v>0</v>
      </c>
      <c r="K82" s="677">
        <v>0</v>
      </c>
      <c r="L82" s="677">
        <v>0</v>
      </c>
      <c r="M82" s="677">
        <v>0</v>
      </c>
      <c r="O82" s="679">
        <f t="shared" si="9"/>
        <v>0</v>
      </c>
    </row>
    <row r="83" spans="2:15" ht="28.5" customHeight="1" x14ac:dyDescent="0.25">
      <c r="B83" s="1068" t="str">
        <f>"per 31/12/"&amp;$M$35+5</f>
        <v>per 31/12/2019</v>
      </c>
      <c r="C83" s="1069"/>
      <c r="D83" s="1069"/>
      <c r="E83" s="1070"/>
      <c r="F83" s="162"/>
      <c r="G83" s="931"/>
      <c r="H83" s="931"/>
      <c r="I83" s="677">
        <v>0</v>
      </c>
      <c r="J83" s="677">
        <v>0</v>
      </c>
      <c r="K83" s="677">
        <v>0</v>
      </c>
      <c r="L83" s="677">
        <v>0</v>
      </c>
      <c r="M83" s="677">
        <v>0</v>
      </c>
      <c r="O83" s="679">
        <f t="shared" si="9"/>
        <v>0</v>
      </c>
    </row>
    <row r="84" spans="2:15" ht="28.5" customHeight="1" x14ac:dyDescent="0.25">
      <c r="B84" s="1068" t="str">
        <f>"per 31/12/"&amp;$M$35+6</f>
        <v>per 31/12/2020</v>
      </c>
      <c r="C84" s="1069"/>
      <c r="D84" s="1069"/>
      <c r="E84" s="1070"/>
      <c r="F84" s="162"/>
      <c r="G84" s="931"/>
      <c r="H84" s="931"/>
      <c r="I84" s="677">
        <v>0</v>
      </c>
      <c r="J84" s="677">
        <v>0</v>
      </c>
      <c r="K84" s="677">
        <v>0</v>
      </c>
      <c r="L84" s="677">
        <v>0</v>
      </c>
      <c r="M84" s="677">
        <v>0</v>
      </c>
      <c r="O84" s="679">
        <f t="shared" si="9"/>
        <v>0</v>
      </c>
    </row>
    <row r="85" spans="2:15" ht="26.25" customHeight="1" x14ac:dyDescent="0.25">
      <c r="B85" s="1077" t="s">
        <v>237</v>
      </c>
      <c r="C85" s="1078"/>
      <c r="D85" s="1078"/>
      <c r="E85" s="1079"/>
      <c r="F85" s="162"/>
      <c r="G85" s="930"/>
      <c r="H85" s="930"/>
      <c r="I85" s="686"/>
      <c r="J85" s="686"/>
      <c r="K85" s="686"/>
      <c r="L85" s="686"/>
      <c r="M85" s="686"/>
      <c r="O85" s="686"/>
    </row>
    <row r="86" spans="2:15" ht="28.5" customHeight="1" x14ac:dyDescent="0.25">
      <c r="B86" s="1068" t="str">
        <f>"per 31/12/"&amp;$M$35</f>
        <v>per 31/12/2014</v>
      </c>
      <c r="C86" s="1069"/>
      <c r="D86" s="1069"/>
      <c r="E86" s="1070"/>
      <c r="F86" s="162"/>
      <c r="G86" s="931"/>
      <c r="H86" s="931"/>
      <c r="I86" s="677">
        <v>0</v>
      </c>
      <c r="J86" s="677">
        <v>0</v>
      </c>
      <c r="K86" s="677">
        <v>0</v>
      </c>
      <c r="L86" s="677">
        <v>0</v>
      </c>
      <c r="M86" s="677">
        <v>0</v>
      </c>
      <c r="O86" s="679">
        <f t="shared" ref="O86:O92" si="10">SUM(I86:M86)</f>
        <v>0</v>
      </c>
    </row>
    <row r="87" spans="2:15" ht="28.5" customHeight="1" x14ac:dyDescent="0.25">
      <c r="B87" s="1068" t="str">
        <f>"per 31/12/"&amp;$M$35+1</f>
        <v>per 31/12/2015</v>
      </c>
      <c r="C87" s="1069"/>
      <c r="D87" s="1069"/>
      <c r="E87" s="1070"/>
      <c r="F87" s="162"/>
      <c r="G87" s="931"/>
      <c r="H87" s="931"/>
      <c r="I87" s="677">
        <v>0</v>
      </c>
      <c r="J87" s="677">
        <v>0</v>
      </c>
      <c r="K87" s="677">
        <v>0</v>
      </c>
      <c r="L87" s="677">
        <v>0</v>
      </c>
      <c r="M87" s="677">
        <v>0</v>
      </c>
      <c r="O87" s="679">
        <f t="shared" si="10"/>
        <v>0</v>
      </c>
    </row>
    <row r="88" spans="2:15" ht="28.5" customHeight="1" x14ac:dyDescent="0.25">
      <c r="B88" s="1068" t="str">
        <f>"per 31/12/"&amp;$M$35+2</f>
        <v>per 31/12/2016</v>
      </c>
      <c r="C88" s="1069"/>
      <c r="D88" s="1069"/>
      <c r="E88" s="1070"/>
      <c r="F88" s="162"/>
      <c r="G88" s="931"/>
      <c r="H88" s="931"/>
      <c r="I88" s="677">
        <v>0</v>
      </c>
      <c r="J88" s="677">
        <v>0</v>
      </c>
      <c r="K88" s="677">
        <v>0</v>
      </c>
      <c r="L88" s="677">
        <v>0</v>
      </c>
      <c r="M88" s="677">
        <v>0</v>
      </c>
      <c r="O88" s="679">
        <f t="shared" si="10"/>
        <v>0</v>
      </c>
    </row>
    <row r="89" spans="2:15" ht="28.5" customHeight="1" x14ac:dyDescent="0.25">
      <c r="B89" s="1068" t="str">
        <f>"per 31/12/"&amp;$M$35+3</f>
        <v>per 31/12/2017</v>
      </c>
      <c r="C89" s="1069"/>
      <c r="D89" s="1069"/>
      <c r="E89" s="1070"/>
      <c r="F89" s="162"/>
      <c r="G89" s="931"/>
      <c r="H89" s="931"/>
      <c r="I89" s="677">
        <v>0</v>
      </c>
      <c r="J89" s="677">
        <v>0</v>
      </c>
      <c r="K89" s="677">
        <v>0</v>
      </c>
      <c r="L89" s="677">
        <v>0</v>
      </c>
      <c r="M89" s="677">
        <v>0</v>
      </c>
      <c r="O89" s="679">
        <f t="shared" si="10"/>
        <v>0</v>
      </c>
    </row>
    <row r="90" spans="2:15" ht="28.5" customHeight="1" x14ac:dyDescent="0.25">
      <c r="B90" s="1068" t="str">
        <f>"per 31/12/"&amp;$M$35+4</f>
        <v>per 31/12/2018</v>
      </c>
      <c r="C90" s="1069"/>
      <c r="D90" s="1069"/>
      <c r="E90" s="1070"/>
      <c r="F90" s="162"/>
      <c r="G90" s="931"/>
      <c r="H90" s="931"/>
      <c r="I90" s="677">
        <v>0</v>
      </c>
      <c r="J90" s="677">
        <v>0</v>
      </c>
      <c r="K90" s="677">
        <v>0</v>
      </c>
      <c r="L90" s="677">
        <v>0</v>
      </c>
      <c r="M90" s="677">
        <v>0</v>
      </c>
      <c r="O90" s="679">
        <f t="shared" si="10"/>
        <v>0</v>
      </c>
    </row>
    <row r="91" spans="2:15" ht="28.5" customHeight="1" x14ac:dyDescent="0.25">
      <c r="B91" s="1068" t="str">
        <f>"per 31/12/"&amp;$M$35+5</f>
        <v>per 31/12/2019</v>
      </c>
      <c r="C91" s="1069"/>
      <c r="D91" s="1069"/>
      <c r="E91" s="1070"/>
      <c r="F91" s="162"/>
      <c r="G91" s="931"/>
      <c r="H91" s="931"/>
      <c r="I91" s="677">
        <v>0</v>
      </c>
      <c r="J91" s="677">
        <v>0</v>
      </c>
      <c r="K91" s="677">
        <v>0</v>
      </c>
      <c r="L91" s="677">
        <v>0</v>
      </c>
      <c r="M91" s="677">
        <v>0</v>
      </c>
      <c r="O91" s="679">
        <f t="shared" si="10"/>
        <v>0</v>
      </c>
    </row>
    <row r="92" spans="2:15" ht="28.5" customHeight="1" x14ac:dyDescent="0.25">
      <c r="B92" s="1068" t="str">
        <f>"per 31/12/"&amp;$M$35+6</f>
        <v>per 31/12/2020</v>
      </c>
      <c r="C92" s="1069"/>
      <c r="D92" s="1069"/>
      <c r="E92" s="1070"/>
      <c r="F92" s="162"/>
      <c r="G92" s="931"/>
      <c r="H92" s="931"/>
      <c r="I92" s="677">
        <v>0</v>
      </c>
      <c r="J92" s="677">
        <v>0</v>
      </c>
      <c r="K92" s="677">
        <v>0</v>
      </c>
      <c r="L92" s="677">
        <v>0</v>
      </c>
      <c r="M92" s="677">
        <v>0</v>
      </c>
      <c r="O92" s="679">
        <f t="shared" si="10"/>
        <v>0</v>
      </c>
    </row>
    <row r="93" spans="2:15" ht="30" customHeight="1" x14ac:dyDescent="0.25">
      <c r="B93" s="1077" t="s">
        <v>287</v>
      </c>
      <c r="C93" s="1078"/>
      <c r="D93" s="1078"/>
      <c r="E93" s="1079"/>
      <c r="F93" s="162"/>
      <c r="G93" s="930"/>
      <c r="H93" s="930"/>
      <c r="I93" s="686"/>
      <c r="J93" s="686"/>
      <c r="K93" s="686"/>
      <c r="L93" s="686"/>
      <c r="M93" s="686"/>
      <c r="O93" s="686"/>
    </row>
    <row r="94" spans="2:15" ht="28.5" customHeight="1" x14ac:dyDescent="0.25">
      <c r="B94" s="1068" t="str">
        <f>"per 31/12/"&amp;$M$35</f>
        <v>per 31/12/2014</v>
      </c>
      <c r="C94" s="1069"/>
      <c r="D94" s="1069"/>
      <c r="E94" s="1070"/>
      <c r="F94" s="162"/>
      <c r="G94" s="931"/>
      <c r="H94" s="931"/>
      <c r="I94" s="677">
        <v>0</v>
      </c>
      <c r="J94" s="677">
        <v>0</v>
      </c>
      <c r="K94" s="677">
        <v>0</v>
      </c>
      <c r="L94" s="677">
        <v>0</v>
      </c>
      <c r="M94" s="677">
        <v>0</v>
      </c>
      <c r="O94" s="679">
        <f t="shared" ref="O94:O100" si="11">SUM(I94:M94)</f>
        <v>0</v>
      </c>
    </row>
    <row r="95" spans="2:15" ht="28.5" customHeight="1" x14ac:dyDescent="0.25">
      <c r="B95" s="1068" t="str">
        <f>"per 31/12/"&amp;$M$35+1</f>
        <v>per 31/12/2015</v>
      </c>
      <c r="C95" s="1069"/>
      <c r="D95" s="1069"/>
      <c r="E95" s="1070"/>
      <c r="F95" s="162"/>
      <c r="G95" s="931"/>
      <c r="H95" s="931"/>
      <c r="I95" s="677">
        <v>0</v>
      </c>
      <c r="J95" s="677">
        <v>0</v>
      </c>
      <c r="K95" s="677">
        <v>0</v>
      </c>
      <c r="L95" s="677">
        <v>0</v>
      </c>
      <c r="M95" s="677">
        <v>0</v>
      </c>
      <c r="O95" s="679">
        <f t="shared" si="11"/>
        <v>0</v>
      </c>
    </row>
    <row r="96" spans="2:15" ht="28.5" customHeight="1" x14ac:dyDescent="0.25">
      <c r="B96" s="1068" t="str">
        <f>"per 31/12/"&amp;$M$35+2</f>
        <v>per 31/12/2016</v>
      </c>
      <c r="C96" s="1069"/>
      <c r="D96" s="1069"/>
      <c r="E96" s="1070"/>
      <c r="F96" s="162"/>
      <c r="G96" s="931"/>
      <c r="H96" s="931"/>
      <c r="I96" s="677">
        <v>0</v>
      </c>
      <c r="J96" s="677">
        <v>0</v>
      </c>
      <c r="K96" s="677">
        <v>0</v>
      </c>
      <c r="L96" s="677">
        <v>0</v>
      </c>
      <c r="M96" s="677">
        <v>0</v>
      </c>
      <c r="O96" s="679">
        <f t="shared" si="11"/>
        <v>0</v>
      </c>
    </row>
    <row r="97" spans="2:15" ht="28.5" customHeight="1" x14ac:dyDescent="0.25">
      <c r="B97" s="1068" t="str">
        <f>"per 31/12/"&amp;$M$35+3</f>
        <v>per 31/12/2017</v>
      </c>
      <c r="C97" s="1069"/>
      <c r="D97" s="1069"/>
      <c r="E97" s="1070"/>
      <c r="F97" s="162"/>
      <c r="G97" s="931"/>
      <c r="H97" s="931"/>
      <c r="I97" s="677">
        <v>0</v>
      </c>
      <c r="J97" s="677">
        <v>0</v>
      </c>
      <c r="K97" s="677">
        <v>0</v>
      </c>
      <c r="L97" s="677">
        <v>0</v>
      </c>
      <c r="M97" s="677">
        <v>0</v>
      </c>
      <c r="O97" s="679">
        <f t="shared" si="11"/>
        <v>0</v>
      </c>
    </row>
    <row r="98" spans="2:15" ht="28.5" customHeight="1" x14ac:dyDescent="0.25">
      <c r="B98" s="1068" t="str">
        <f>"per 31/12/"&amp;$M$35+4</f>
        <v>per 31/12/2018</v>
      </c>
      <c r="C98" s="1069"/>
      <c r="D98" s="1069"/>
      <c r="E98" s="1070"/>
      <c r="F98" s="162"/>
      <c r="G98" s="931"/>
      <c r="H98" s="931"/>
      <c r="I98" s="677">
        <v>0</v>
      </c>
      <c r="J98" s="677">
        <v>0</v>
      </c>
      <c r="K98" s="677">
        <v>0</v>
      </c>
      <c r="L98" s="677">
        <v>0</v>
      </c>
      <c r="M98" s="677">
        <v>0</v>
      </c>
      <c r="O98" s="679">
        <f t="shared" si="11"/>
        <v>0</v>
      </c>
    </row>
    <row r="99" spans="2:15" ht="28.5" customHeight="1" x14ac:dyDescent="0.25">
      <c r="B99" s="1068" t="str">
        <f>"per 31/12/"&amp;$M$35+5</f>
        <v>per 31/12/2019</v>
      </c>
      <c r="C99" s="1069"/>
      <c r="D99" s="1069"/>
      <c r="E99" s="1070"/>
      <c r="F99" s="162"/>
      <c r="G99" s="931"/>
      <c r="H99" s="931"/>
      <c r="I99" s="677">
        <v>0</v>
      </c>
      <c r="J99" s="677">
        <v>0</v>
      </c>
      <c r="K99" s="677">
        <v>0</v>
      </c>
      <c r="L99" s="677">
        <v>0</v>
      </c>
      <c r="M99" s="677">
        <v>0</v>
      </c>
      <c r="O99" s="679">
        <f t="shared" si="11"/>
        <v>0</v>
      </c>
    </row>
    <row r="100" spans="2:15" ht="28.5" customHeight="1" x14ac:dyDescent="0.25">
      <c r="B100" s="1068" t="str">
        <f>"per 31/12/"&amp;$M$35+6</f>
        <v>per 31/12/2020</v>
      </c>
      <c r="C100" s="1069"/>
      <c r="D100" s="1069"/>
      <c r="E100" s="1070"/>
      <c r="F100" s="162"/>
      <c r="G100" s="931"/>
      <c r="H100" s="931"/>
      <c r="I100" s="677">
        <v>0</v>
      </c>
      <c r="J100" s="677">
        <v>0</v>
      </c>
      <c r="K100" s="677">
        <v>0</v>
      </c>
      <c r="L100" s="677">
        <v>0</v>
      </c>
      <c r="M100" s="677">
        <v>0</v>
      </c>
      <c r="O100" s="679">
        <f t="shared" si="11"/>
        <v>0</v>
      </c>
    </row>
    <row r="101" spans="2:15" ht="33" customHeight="1" x14ac:dyDescent="0.25">
      <c r="B101" s="1077" t="s">
        <v>134</v>
      </c>
      <c r="C101" s="1078"/>
      <c r="D101" s="1078"/>
      <c r="E101" s="1079"/>
      <c r="F101" s="162"/>
      <c r="G101" s="930"/>
      <c r="H101" s="930"/>
      <c r="I101" s="686"/>
      <c r="J101" s="686"/>
      <c r="K101" s="686"/>
      <c r="L101" s="686"/>
      <c r="M101" s="686"/>
      <c r="O101" s="686"/>
    </row>
    <row r="102" spans="2:15" ht="28.5" customHeight="1" x14ac:dyDescent="0.25">
      <c r="B102" s="1068" t="str">
        <f>"per 31/12/"&amp;$M$35</f>
        <v>per 31/12/2014</v>
      </c>
      <c r="C102" s="1069"/>
      <c r="D102" s="1069"/>
      <c r="E102" s="1070"/>
      <c r="F102" s="162"/>
      <c r="G102" s="931"/>
      <c r="H102" s="931"/>
      <c r="I102" s="677">
        <v>0</v>
      </c>
      <c r="J102" s="677">
        <v>0</v>
      </c>
      <c r="K102" s="677">
        <v>0</v>
      </c>
      <c r="L102" s="677">
        <v>0</v>
      </c>
      <c r="M102" s="677">
        <v>0</v>
      </c>
      <c r="O102" s="679">
        <f t="shared" ref="O102:O108" si="12">SUM(I102:M102)</f>
        <v>0</v>
      </c>
    </row>
    <row r="103" spans="2:15" ht="28.5" customHeight="1" x14ac:dyDescent="0.25">
      <c r="B103" s="1068" t="str">
        <f>"per 31/12/"&amp;$M$35+1</f>
        <v>per 31/12/2015</v>
      </c>
      <c r="C103" s="1069"/>
      <c r="D103" s="1069"/>
      <c r="E103" s="1070"/>
      <c r="F103" s="162"/>
      <c r="G103" s="931"/>
      <c r="H103" s="931"/>
      <c r="I103" s="677">
        <v>0</v>
      </c>
      <c r="J103" s="677">
        <v>0</v>
      </c>
      <c r="K103" s="677">
        <v>0</v>
      </c>
      <c r="L103" s="677">
        <v>0</v>
      </c>
      <c r="M103" s="677">
        <v>0</v>
      </c>
      <c r="O103" s="679">
        <f t="shared" si="12"/>
        <v>0</v>
      </c>
    </row>
    <row r="104" spans="2:15" ht="28.5" customHeight="1" x14ac:dyDescent="0.25">
      <c r="B104" s="1068" t="str">
        <f>"per 31/12/"&amp;$M$35+2</f>
        <v>per 31/12/2016</v>
      </c>
      <c r="C104" s="1069"/>
      <c r="D104" s="1069"/>
      <c r="E104" s="1070"/>
      <c r="F104" s="162"/>
      <c r="G104" s="931"/>
      <c r="H104" s="931"/>
      <c r="I104" s="677">
        <v>0</v>
      </c>
      <c r="J104" s="677">
        <v>0</v>
      </c>
      <c r="K104" s="677">
        <v>0</v>
      </c>
      <c r="L104" s="677">
        <v>0</v>
      </c>
      <c r="M104" s="677">
        <v>0</v>
      </c>
      <c r="O104" s="679">
        <f t="shared" si="12"/>
        <v>0</v>
      </c>
    </row>
    <row r="105" spans="2:15" ht="28.5" customHeight="1" x14ac:dyDescent="0.25">
      <c r="B105" s="1068" t="str">
        <f>"per 31/12/"&amp;$M$35+3</f>
        <v>per 31/12/2017</v>
      </c>
      <c r="C105" s="1069"/>
      <c r="D105" s="1069"/>
      <c r="E105" s="1070"/>
      <c r="F105" s="162"/>
      <c r="G105" s="931"/>
      <c r="H105" s="931"/>
      <c r="I105" s="677">
        <v>0</v>
      </c>
      <c r="J105" s="677">
        <v>0</v>
      </c>
      <c r="K105" s="677">
        <v>0</v>
      </c>
      <c r="L105" s="677">
        <v>0</v>
      </c>
      <c r="M105" s="677">
        <v>0</v>
      </c>
      <c r="O105" s="679">
        <f t="shared" si="12"/>
        <v>0</v>
      </c>
    </row>
    <row r="106" spans="2:15" ht="28.5" customHeight="1" x14ac:dyDescent="0.25">
      <c r="B106" s="1068" t="str">
        <f>"per 31/12/"&amp;$M$35+4</f>
        <v>per 31/12/2018</v>
      </c>
      <c r="C106" s="1069"/>
      <c r="D106" s="1069"/>
      <c r="E106" s="1070"/>
      <c r="F106" s="162"/>
      <c r="G106" s="931"/>
      <c r="H106" s="931"/>
      <c r="I106" s="677">
        <v>0</v>
      </c>
      <c r="J106" s="677">
        <v>0</v>
      </c>
      <c r="K106" s="677">
        <v>0</v>
      </c>
      <c r="L106" s="677">
        <v>0</v>
      </c>
      <c r="M106" s="677">
        <v>0</v>
      </c>
      <c r="O106" s="679">
        <f t="shared" si="12"/>
        <v>0</v>
      </c>
    </row>
    <row r="107" spans="2:15" ht="28.5" customHeight="1" x14ac:dyDescent="0.25">
      <c r="B107" s="1068" t="str">
        <f>"per 31/12/"&amp;$M$35+5</f>
        <v>per 31/12/2019</v>
      </c>
      <c r="C107" s="1069"/>
      <c r="D107" s="1069"/>
      <c r="E107" s="1070"/>
      <c r="F107" s="162"/>
      <c r="G107" s="931"/>
      <c r="H107" s="931"/>
      <c r="I107" s="677">
        <v>0</v>
      </c>
      <c r="J107" s="677">
        <v>0</v>
      </c>
      <c r="K107" s="677">
        <v>0</v>
      </c>
      <c r="L107" s="677">
        <v>0</v>
      </c>
      <c r="M107" s="677">
        <v>0</v>
      </c>
      <c r="O107" s="679">
        <f t="shared" si="12"/>
        <v>0</v>
      </c>
    </row>
    <row r="108" spans="2:15" ht="28.5" customHeight="1" x14ac:dyDescent="0.25">
      <c r="B108" s="1068" t="str">
        <f>"per 31/12/"&amp;$M$35+6</f>
        <v>per 31/12/2020</v>
      </c>
      <c r="C108" s="1069"/>
      <c r="D108" s="1069"/>
      <c r="E108" s="1070"/>
      <c r="F108" s="162"/>
      <c r="G108" s="931"/>
      <c r="H108" s="931"/>
      <c r="I108" s="677">
        <v>0</v>
      </c>
      <c r="J108" s="677">
        <v>0</v>
      </c>
      <c r="K108" s="677">
        <v>0</v>
      </c>
      <c r="L108" s="677">
        <v>0</v>
      </c>
      <c r="M108" s="677">
        <v>0</v>
      </c>
      <c r="O108" s="679">
        <f t="shared" si="12"/>
        <v>0</v>
      </c>
    </row>
    <row r="109" spans="2:15" ht="33" customHeight="1" x14ac:dyDescent="0.25">
      <c r="B109" s="1077" t="s">
        <v>276</v>
      </c>
      <c r="C109" s="1078"/>
      <c r="D109" s="1078"/>
      <c r="E109" s="1079"/>
      <c r="F109" s="162"/>
      <c r="G109" s="930"/>
      <c r="H109" s="930"/>
      <c r="I109" s="686"/>
      <c r="J109" s="686"/>
      <c r="K109" s="686"/>
      <c r="L109" s="686"/>
      <c r="M109" s="686"/>
      <c r="O109" s="686"/>
    </row>
    <row r="110" spans="2:15" ht="28.5" customHeight="1" x14ac:dyDescent="0.25">
      <c r="B110" s="1068" t="str">
        <f>"per 31/12/"&amp;$M$35</f>
        <v>per 31/12/2014</v>
      </c>
      <c r="C110" s="1069"/>
      <c r="D110" s="1069"/>
      <c r="E110" s="1070"/>
      <c r="F110" s="162"/>
      <c r="G110" s="931"/>
      <c r="H110" s="931"/>
      <c r="I110" s="677">
        <v>0</v>
      </c>
      <c r="J110" s="677">
        <v>0</v>
      </c>
      <c r="K110" s="677">
        <v>0</v>
      </c>
      <c r="L110" s="677">
        <v>0</v>
      </c>
      <c r="M110" s="677">
        <v>0</v>
      </c>
      <c r="O110" s="679">
        <f t="shared" ref="O110:O115" si="13">SUM(I110:M110)</f>
        <v>0</v>
      </c>
    </row>
    <row r="111" spans="2:15" ht="28.5" customHeight="1" x14ac:dyDescent="0.25">
      <c r="B111" s="1068" t="str">
        <f>"per 31/12/"&amp;$M$35+1</f>
        <v>per 31/12/2015</v>
      </c>
      <c r="C111" s="1069"/>
      <c r="D111" s="1069"/>
      <c r="E111" s="1070"/>
      <c r="F111" s="162"/>
      <c r="G111" s="931"/>
      <c r="H111" s="931"/>
      <c r="I111" s="677">
        <v>0</v>
      </c>
      <c r="J111" s="677">
        <v>0</v>
      </c>
      <c r="K111" s="677">
        <v>0</v>
      </c>
      <c r="L111" s="677">
        <v>0</v>
      </c>
      <c r="M111" s="677">
        <v>0</v>
      </c>
      <c r="O111" s="679">
        <f t="shared" si="13"/>
        <v>0</v>
      </c>
    </row>
    <row r="112" spans="2:15" ht="28.5" customHeight="1" x14ac:dyDescent="0.25">
      <c r="B112" s="1068" t="str">
        <f>"per 31/12/"&amp;$M$35+2</f>
        <v>per 31/12/2016</v>
      </c>
      <c r="C112" s="1069"/>
      <c r="D112" s="1069"/>
      <c r="E112" s="1070"/>
      <c r="F112" s="162"/>
      <c r="G112" s="931"/>
      <c r="H112" s="931"/>
      <c r="I112" s="677">
        <v>0</v>
      </c>
      <c r="J112" s="677">
        <v>0</v>
      </c>
      <c r="K112" s="677">
        <v>0</v>
      </c>
      <c r="L112" s="677">
        <v>0</v>
      </c>
      <c r="M112" s="677">
        <v>0</v>
      </c>
      <c r="O112" s="679">
        <f t="shared" si="13"/>
        <v>0</v>
      </c>
    </row>
    <row r="113" spans="2:15" ht="28.5" customHeight="1" x14ac:dyDescent="0.25">
      <c r="B113" s="1068" t="str">
        <f>"per 31/12/"&amp;$M$35+3</f>
        <v>per 31/12/2017</v>
      </c>
      <c r="C113" s="1069"/>
      <c r="D113" s="1069"/>
      <c r="E113" s="1070"/>
      <c r="F113" s="162"/>
      <c r="G113" s="931"/>
      <c r="H113" s="931"/>
      <c r="I113" s="677">
        <v>0</v>
      </c>
      <c r="J113" s="677">
        <v>0</v>
      </c>
      <c r="K113" s="677">
        <v>0</v>
      </c>
      <c r="L113" s="677">
        <v>0</v>
      </c>
      <c r="M113" s="677">
        <v>0</v>
      </c>
      <c r="O113" s="679">
        <f t="shared" si="13"/>
        <v>0</v>
      </c>
    </row>
    <row r="114" spans="2:15" ht="28.5" customHeight="1" x14ac:dyDescent="0.25">
      <c r="B114" s="1068" t="str">
        <f>"per 31/12/"&amp;$M$35+4</f>
        <v>per 31/12/2018</v>
      </c>
      <c r="C114" s="1069"/>
      <c r="D114" s="1069"/>
      <c r="E114" s="1070"/>
      <c r="F114" s="162"/>
      <c r="G114" s="931"/>
      <c r="H114" s="931"/>
      <c r="I114" s="677">
        <v>0</v>
      </c>
      <c r="J114" s="677">
        <v>0</v>
      </c>
      <c r="K114" s="677">
        <v>0</v>
      </c>
      <c r="L114" s="677">
        <v>0</v>
      </c>
      <c r="M114" s="677">
        <v>0</v>
      </c>
      <c r="O114" s="679">
        <f t="shared" si="13"/>
        <v>0</v>
      </c>
    </row>
    <row r="115" spans="2:15" ht="28.5" customHeight="1" x14ac:dyDescent="0.25">
      <c r="B115" s="1068" t="str">
        <f>"per 31/12/"&amp;$M$35+5</f>
        <v>per 31/12/2019</v>
      </c>
      <c r="C115" s="1069"/>
      <c r="D115" s="1069"/>
      <c r="E115" s="1070"/>
      <c r="F115" s="162"/>
      <c r="G115" s="931"/>
      <c r="H115" s="931"/>
      <c r="I115" s="677">
        <v>0</v>
      </c>
      <c r="J115" s="677">
        <v>0</v>
      </c>
      <c r="K115" s="677">
        <v>0</v>
      </c>
      <c r="L115" s="677">
        <v>0</v>
      </c>
      <c r="M115" s="677">
        <v>0</v>
      </c>
      <c r="O115" s="679">
        <f t="shared" si="13"/>
        <v>0</v>
      </c>
    </row>
    <row r="116" spans="2:15" ht="28.5" customHeight="1" x14ac:dyDescent="0.25">
      <c r="B116" s="1068" t="str">
        <f>"per 31/12/"&amp;$M$35+6</f>
        <v>per 31/12/2020</v>
      </c>
      <c r="C116" s="1069"/>
      <c r="D116" s="1069"/>
      <c r="E116" s="1070"/>
      <c r="F116" s="162"/>
      <c r="G116" s="931"/>
      <c r="H116" s="931"/>
      <c r="I116" s="677">
        <v>0</v>
      </c>
      <c r="J116" s="677">
        <v>0</v>
      </c>
      <c r="K116" s="677">
        <v>0</v>
      </c>
      <c r="L116" s="677">
        <v>0</v>
      </c>
      <c r="M116" s="677">
        <v>0</v>
      </c>
      <c r="O116" s="679">
        <f>SUM(I116:M116)</f>
        <v>0</v>
      </c>
    </row>
    <row r="117" spans="2:15" x14ac:dyDescent="0.25">
      <c r="G117" s="932"/>
      <c r="H117" s="932"/>
      <c r="I117" s="680"/>
      <c r="J117" s="680"/>
      <c r="K117" s="680"/>
      <c r="L117" s="680"/>
      <c r="M117" s="680"/>
      <c r="O117" s="956"/>
    </row>
    <row r="118" spans="2:15" s="381" customFormat="1" ht="13" x14ac:dyDescent="0.3">
      <c r="B118" s="1168"/>
      <c r="C118" s="1168"/>
      <c r="D118" s="1168"/>
      <c r="E118" s="1168"/>
      <c r="G118" s="924"/>
      <c r="H118" s="924"/>
      <c r="I118" s="675">
        <v>2010</v>
      </c>
      <c r="J118" s="675">
        <f t="shared" ref="J118:M118" si="14">+I118+1</f>
        <v>2011</v>
      </c>
      <c r="K118" s="675">
        <f t="shared" si="14"/>
        <v>2012</v>
      </c>
      <c r="L118" s="675">
        <f t="shared" si="14"/>
        <v>2013</v>
      </c>
      <c r="M118" s="675">
        <f t="shared" si="14"/>
        <v>2014</v>
      </c>
      <c r="N118" s="48"/>
      <c r="O118" s="675" t="s">
        <v>31</v>
      </c>
    </row>
    <row r="119" spans="2:15" s="682" customFormat="1" ht="26.25" customHeight="1" x14ac:dyDescent="0.25">
      <c r="B119" s="1179" t="s">
        <v>382</v>
      </c>
      <c r="C119" s="1180"/>
      <c r="D119" s="1180"/>
      <c r="E119" s="1181"/>
      <c r="F119" s="699"/>
      <c r="G119" s="933"/>
      <c r="H119" s="933"/>
      <c r="I119" s="696"/>
      <c r="J119" s="696"/>
      <c r="K119" s="696"/>
      <c r="L119" s="696"/>
      <c r="M119" s="696"/>
      <c r="O119" s="696"/>
    </row>
    <row r="120" spans="2:15" ht="28.5" customHeight="1" x14ac:dyDescent="0.25">
      <c r="B120" s="1063" t="str">
        <f>"per 31/12/"&amp;$M$35</f>
        <v>per 31/12/2014</v>
      </c>
      <c r="C120" s="1064"/>
      <c r="D120" s="1064"/>
      <c r="E120" s="1065"/>
      <c r="F120" s="697"/>
      <c r="G120" s="934"/>
      <c r="H120" s="934"/>
      <c r="I120" s="698">
        <f t="shared" ref="I120:M126" si="15">SUM(I38,I46,I54,I62,I70,I78,I86,I94,I102,I110)</f>
        <v>0</v>
      </c>
      <c r="J120" s="698">
        <f t="shared" si="15"/>
        <v>0</v>
      </c>
      <c r="K120" s="698">
        <f t="shared" si="15"/>
        <v>0</v>
      </c>
      <c r="L120" s="698">
        <f t="shared" si="15"/>
        <v>0</v>
      </c>
      <c r="M120" s="698">
        <f t="shared" si="15"/>
        <v>0</v>
      </c>
      <c r="O120" s="844">
        <f t="shared" ref="O120:O126" si="16">SUM(O38,O46,O54,O62,O70,O78,O86,O94,O102,O110)</f>
        <v>0</v>
      </c>
    </row>
    <row r="121" spans="2:15" ht="28.5" customHeight="1" x14ac:dyDescent="0.25">
      <c r="B121" s="1063" t="str">
        <f>"per 31/12/"&amp;$M$35+1</f>
        <v>per 31/12/2015</v>
      </c>
      <c r="C121" s="1064"/>
      <c r="D121" s="1064"/>
      <c r="E121" s="1065"/>
      <c r="F121" s="697"/>
      <c r="G121" s="934"/>
      <c r="H121" s="934"/>
      <c r="I121" s="698">
        <f t="shared" si="15"/>
        <v>0</v>
      </c>
      <c r="J121" s="698">
        <f t="shared" si="15"/>
        <v>0</v>
      </c>
      <c r="K121" s="698">
        <f t="shared" si="15"/>
        <v>0</v>
      </c>
      <c r="L121" s="698">
        <f t="shared" si="15"/>
        <v>0</v>
      </c>
      <c r="M121" s="698">
        <f t="shared" si="15"/>
        <v>0</v>
      </c>
      <c r="O121" s="844">
        <f t="shared" si="16"/>
        <v>0</v>
      </c>
    </row>
    <row r="122" spans="2:15" ht="28.5" customHeight="1" x14ac:dyDescent="0.25">
      <c r="B122" s="1063" t="str">
        <f>"per 31/12/"&amp;$M$35+2</f>
        <v>per 31/12/2016</v>
      </c>
      <c r="C122" s="1064"/>
      <c r="D122" s="1064"/>
      <c r="E122" s="1065"/>
      <c r="F122" s="697"/>
      <c r="G122" s="934"/>
      <c r="H122" s="934"/>
      <c r="I122" s="698">
        <f t="shared" si="15"/>
        <v>0</v>
      </c>
      <c r="J122" s="698">
        <f t="shared" si="15"/>
        <v>0</v>
      </c>
      <c r="K122" s="698">
        <f t="shared" si="15"/>
        <v>0</v>
      </c>
      <c r="L122" s="698">
        <f t="shared" si="15"/>
        <v>0</v>
      </c>
      <c r="M122" s="698">
        <f t="shared" si="15"/>
        <v>0</v>
      </c>
      <c r="O122" s="844">
        <f t="shared" si="16"/>
        <v>0</v>
      </c>
    </row>
    <row r="123" spans="2:15" ht="28.5" customHeight="1" x14ac:dyDescent="0.25">
      <c r="B123" s="1063" t="str">
        <f>"per 31/12/"&amp;$M$35+3</f>
        <v>per 31/12/2017</v>
      </c>
      <c r="C123" s="1064"/>
      <c r="D123" s="1064"/>
      <c r="E123" s="1065"/>
      <c r="F123" s="697"/>
      <c r="G123" s="934"/>
      <c r="H123" s="934"/>
      <c r="I123" s="698">
        <f t="shared" si="15"/>
        <v>0</v>
      </c>
      <c r="J123" s="698">
        <f t="shared" si="15"/>
        <v>0</v>
      </c>
      <c r="K123" s="698">
        <f t="shared" si="15"/>
        <v>0</v>
      </c>
      <c r="L123" s="698">
        <f t="shared" si="15"/>
        <v>0</v>
      </c>
      <c r="M123" s="698">
        <f t="shared" si="15"/>
        <v>0</v>
      </c>
      <c r="O123" s="844">
        <f t="shared" si="16"/>
        <v>0</v>
      </c>
    </row>
    <row r="124" spans="2:15" ht="28.5" customHeight="1" x14ac:dyDescent="0.25">
      <c r="B124" s="1063" t="str">
        <f>"per 31/12/"&amp;$M$35+4</f>
        <v>per 31/12/2018</v>
      </c>
      <c r="C124" s="1064"/>
      <c r="D124" s="1064"/>
      <c r="E124" s="1065"/>
      <c r="F124" s="697"/>
      <c r="G124" s="934"/>
      <c r="H124" s="934"/>
      <c r="I124" s="698">
        <f t="shared" si="15"/>
        <v>0</v>
      </c>
      <c r="J124" s="698">
        <f t="shared" si="15"/>
        <v>0</v>
      </c>
      <c r="K124" s="698">
        <f t="shared" si="15"/>
        <v>0</v>
      </c>
      <c r="L124" s="698">
        <f t="shared" si="15"/>
        <v>0</v>
      </c>
      <c r="M124" s="698">
        <f t="shared" si="15"/>
        <v>0</v>
      </c>
      <c r="O124" s="844">
        <f t="shared" si="16"/>
        <v>0</v>
      </c>
    </row>
    <row r="125" spans="2:15" ht="28.5" customHeight="1" x14ac:dyDescent="0.25">
      <c r="B125" s="1063" t="str">
        <f>"per 31/12/"&amp;$M$35+5</f>
        <v>per 31/12/2019</v>
      </c>
      <c r="C125" s="1064"/>
      <c r="D125" s="1064"/>
      <c r="E125" s="1065"/>
      <c r="F125" s="697"/>
      <c r="G125" s="934"/>
      <c r="H125" s="934"/>
      <c r="I125" s="698">
        <f t="shared" si="15"/>
        <v>0</v>
      </c>
      <c r="J125" s="698">
        <f t="shared" si="15"/>
        <v>0</v>
      </c>
      <c r="K125" s="698">
        <f t="shared" si="15"/>
        <v>0</v>
      </c>
      <c r="L125" s="698">
        <f t="shared" si="15"/>
        <v>0</v>
      </c>
      <c r="M125" s="698">
        <f t="shared" si="15"/>
        <v>0</v>
      </c>
      <c r="O125" s="844">
        <f t="shared" si="16"/>
        <v>0</v>
      </c>
    </row>
    <row r="126" spans="2:15" ht="28.5" customHeight="1" x14ac:dyDescent="0.25">
      <c r="B126" s="1063" t="str">
        <f>"per 31/12/"&amp;$M$35+6</f>
        <v>per 31/12/2020</v>
      </c>
      <c r="C126" s="1064"/>
      <c r="D126" s="1064"/>
      <c r="E126" s="1065"/>
      <c r="F126" s="697"/>
      <c r="G126" s="934"/>
      <c r="H126" s="934"/>
      <c r="I126" s="698">
        <f t="shared" si="15"/>
        <v>0</v>
      </c>
      <c r="J126" s="698">
        <f t="shared" si="15"/>
        <v>0</v>
      </c>
      <c r="K126" s="698">
        <f t="shared" si="15"/>
        <v>0</v>
      </c>
      <c r="L126" s="698">
        <f t="shared" si="15"/>
        <v>0</v>
      </c>
      <c r="M126" s="698">
        <f t="shared" si="15"/>
        <v>0</v>
      </c>
      <c r="O126" s="844">
        <f t="shared" si="16"/>
        <v>0</v>
      </c>
    </row>
    <row r="127" spans="2:15" s="381" customFormat="1" ht="13" x14ac:dyDescent="0.3">
      <c r="B127" s="1066"/>
      <c r="C127" s="1066"/>
      <c r="D127" s="1066"/>
      <c r="E127" s="1066"/>
      <c r="G127" s="694"/>
      <c r="H127" s="694"/>
      <c r="I127" s="694"/>
      <c r="J127" s="694"/>
      <c r="K127" s="694"/>
      <c r="L127" s="694"/>
      <c r="M127" s="694"/>
      <c r="O127" s="694"/>
    </row>
    <row r="128" spans="2:15" s="381" customFormat="1" ht="13" x14ac:dyDescent="0.3">
      <c r="B128" s="746"/>
      <c r="C128" s="746"/>
      <c r="D128" s="746"/>
      <c r="E128" s="746"/>
      <c r="G128" s="694"/>
      <c r="H128" s="694"/>
      <c r="I128" s="694"/>
      <c r="J128" s="694"/>
      <c r="K128" s="694"/>
      <c r="L128" s="694"/>
      <c r="M128" s="694"/>
      <c r="O128" s="694"/>
    </row>
    <row r="129" spans="2:15" ht="13" x14ac:dyDescent="0.3">
      <c r="G129" s="434" t="s">
        <v>339</v>
      </c>
    </row>
    <row r="130" spans="2:15" ht="13" x14ac:dyDescent="0.3">
      <c r="G130" s="434" t="s">
        <v>145</v>
      </c>
    </row>
    <row r="131" spans="2:15" s="48" customFormat="1" ht="60" customHeight="1" x14ac:dyDescent="0.25">
      <c r="B131" s="1060" t="s">
        <v>383</v>
      </c>
      <c r="C131" s="1061"/>
      <c r="D131" s="1061"/>
      <c r="E131" s="1062"/>
      <c r="F131" s="162"/>
      <c r="G131" s="675" t="s">
        <v>385</v>
      </c>
      <c r="H131" s="675" t="s">
        <v>385</v>
      </c>
      <c r="I131" s="675">
        <v>2010</v>
      </c>
      <c r="J131" s="675">
        <f t="shared" ref="J131:M131" si="17">+I131+1</f>
        <v>2011</v>
      </c>
      <c r="K131" s="675">
        <f t="shared" si="17"/>
        <v>2012</v>
      </c>
      <c r="L131" s="675">
        <f t="shared" si="17"/>
        <v>2013</v>
      </c>
      <c r="M131" s="675">
        <f t="shared" si="17"/>
        <v>2014</v>
      </c>
      <c r="O131" s="675" t="s">
        <v>31</v>
      </c>
    </row>
    <row r="132" spans="2:15" s="130" customFormat="1" ht="12" customHeight="1" x14ac:dyDescent="0.25">
      <c r="B132" s="384"/>
      <c r="C132" s="384"/>
      <c r="D132" s="384"/>
      <c r="E132" s="384"/>
      <c r="F132" s="385"/>
      <c r="G132" s="925"/>
      <c r="H132" s="926"/>
      <c r="I132" s="387"/>
      <c r="O132" s="714"/>
    </row>
    <row r="133" spans="2:15" ht="36" customHeight="1" x14ac:dyDescent="0.25">
      <c r="B133" s="1077" t="s">
        <v>131</v>
      </c>
      <c r="C133" s="1078"/>
      <c r="D133" s="1078"/>
      <c r="E133" s="1079"/>
      <c r="F133" s="162"/>
      <c r="G133" s="930"/>
      <c r="H133" s="930"/>
      <c r="I133" s="686"/>
      <c r="J133" s="686"/>
      <c r="K133" s="686"/>
      <c r="L133" s="686"/>
      <c r="M133" s="686"/>
      <c r="O133" s="686"/>
    </row>
    <row r="134" spans="2:15" ht="28.5" customHeight="1" x14ac:dyDescent="0.25">
      <c r="B134" s="1068" t="str">
        <f>"per 31/12/"&amp;$M$35</f>
        <v>per 31/12/2014</v>
      </c>
      <c r="C134" s="1069"/>
      <c r="D134" s="1069"/>
      <c r="E134" s="1070"/>
      <c r="F134" s="162"/>
      <c r="G134" s="935"/>
      <c r="H134" s="935"/>
      <c r="I134" s="684">
        <f>+$I$19+I38</f>
        <v>0</v>
      </c>
      <c r="J134" s="684">
        <f>+$J$19+J38</f>
        <v>0</v>
      </c>
      <c r="K134" s="684">
        <f>+$K$19+K38</f>
        <v>0</v>
      </c>
      <c r="L134" s="684">
        <f>+$L$19+L38</f>
        <v>0</v>
      </c>
      <c r="M134" s="684">
        <f>+$M$19+M38</f>
        <v>0</v>
      </c>
      <c r="O134" s="679">
        <f t="shared" ref="O134:O140" si="18">SUM(I134:M134)</f>
        <v>0</v>
      </c>
    </row>
    <row r="135" spans="2:15" ht="28.5" customHeight="1" x14ac:dyDescent="0.25">
      <c r="B135" s="1068" t="str">
        <f>"per 31/12/"&amp;$M$35+1</f>
        <v>per 31/12/2015</v>
      </c>
      <c r="C135" s="1069"/>
      <c r="D135" s="1069"/>
      <c r="E135" s="1070"/>
      <c r="F135" s="162"/>
      <c r="G135" s="935"/>
      <c r="H135" s="935"/>
      <c r="I135" s="684">
        <f t="shared" ref="I135:M135" si="19">+I134+I39</f>
        <v>0</v>
      </c>
      <c r="J135" s="684">
        <f t="shared" si="19"/>
        <v>0</v>
      </c>
      <c r="K135" s="684">
        <f t="shared" si="19"/>
        <v>0</v>
      </c>
      <c r="L135" s="684">
        <f t="shared" si="19"/>
        <v>0</v>
      </c>
      <c r="M135" s="684">
        <f t="shared" si="19"/>
        <v>0</v>
      </c>
      <c r="O135" s="679">
        <f t="shared" si="18"/>
        <v>0</v>
      </c>
    </row>
    <row r="136" spans="2:15" ht="28.5" customHeight="1" x14ac:dyDescent="0.25">
      <c r="B136" s="1068" t="str">
        <f>"per 31/12/"&amp;$M$35+2</f>
        <v>per 31/12/2016</v>
      </c>
      <c r="C136" s="1069"/>
      <c r="D136" s="1069"/>
      <c r="E136" s="1070"/>
      <c r="F136" s="162"/>
      <c r="G136" s="935"/>
      <c r="H136" s="935"/>
      <c r="I136" s="684">
        <f t="shared" ref="I136:M136" si="20">+I135+I40</f>
        <v>0</v>
      </c>
      <c r="J136" s="684">
        <f t="shared" si="20"/>
        <v>0</v>
      </c>
      <c r="K136" s="684">
        <f t="shared" si="20"/>
        <v>0</v>
      </c>
      <c r="L136" s="684">
        <f t="shared" si="20"/>
        <v>0</v>
      </c>
      <c r="M136" s="684">
        <f t="shared" si="20"/>
        <v>0</v>
      </c>
      <c r="O136" s="679">
        <f t="shared" si="18"/>
        <v>0</v>
      </c>
    </row>
    <row r="137" spans="2:15" ht="28.5" customHeight="1" x14ac:dyDescent="0.25">
      <c r="B137" s="1068" t="str">
        <f>"per 31/12/"&amp;$M$35+3</f>
        <v>per 31/12/2017</v>
      </c>
      <c r="C137" s="1069"/>
      <c r="D137" s="1069"/>
      <c r="E137" s="1070"/>
      <c r="F137" s="162"/>
      <c r="G137" s="935"/>
      <c r="H137" s="935"/>
      <c r="I137" s="684">
        <f t="shared" ref="I137:M137" si="21">+I136+I41</f>
        <v>0</v>
      </c>
      <c r="J137" s="684">
        <f t="shared" si="21"/>
        <v>0</v>
      </c>
      <c r="K137" s="684">
        <f t="shared" si="21"/>
        <v>0</v>
      </c>
      <c r="L137" s="684">
        <f t="shared" si="21"/>
        <v>0</v>
      </c>
      <c r="M137" s="684">
        <f t="shared" si="21"/>
        <v>0</v>
      </c>
      <c r="O137" s="679">
        <f t="shared" si="18"/>
        <v>0</v>
      </c>
    </row>
    <row r="138" spans="2:15" ht="28.5" customHeight="1" x14ac:dyDescent="0.25">
      <c r="B138" s="1068" t="str">
        <f>"per 31/12/"&amp;$M$35+4</f>
        <v>per 31/12/2018</v>
      </c>
      <c r="C138" s="1069"/>
      <c r="D138" s="1069"/>
      <c r="E138" s="1070"/>
      <c r="F138" s="162"/>
      <c r="G138" s="935"/>
      <c r="H138" s="935"/>
      <c r="I138" s="684">
        <f t="shared" ref="I138:M138" si="22">+I137+I42</f>
        <v>0</v>
      </c>
      <c r="J138" s="684">
        <f t="shared" si="22"/>
        <v>0</v>
      </c>
      <c r="K138" s="684">
        <f t="shared" si="22"/>
        <v>0</v>
      </c>
      <c r="L138" s="684">
        <f t="shared" si="22"/>
        <v>0</v>
      </c>
      <c r="M138" s="684">
        <f t="shared" si="22"/>
        <v>0</v>
      </c>
      <c r="O138" s="679">
        <f t="shared" si="18"/>
        <v>0</v>
      </c>
    </row>
    <row r="139" spans="2:15" ht="28.5" customHeight="1" x14ac:dyDescent="0.25">
      <c r="B139" s="1068" t="str">
        <f>"per 31/12/"&amp;$M$35+5</f>
        <v>per 31/12/2019</v>
      </c>
      <c r="C139" s="1069"/>
      <c r="D139" s="1069"/>
      <c r="E139" s="1070"/>
      <c r="F139" s="162"/>
      <c r="G139" s="935"/>
      <c r="H139" s="935"/>
      <c r="I139" s="684">
        <f t="shared" ref="I139:M139" si="23">+I138+I43</f>
        <v>0</v>
      </c>
      <c r="J139" s="684">
        <f t="shared" si="23"/>
        <v>0</v>
      </c>
      <c r="K139" s="684">
        <f t="shared" si="23"/>
        <v>0</v>
      </c>
      <c r="L139" s="684">
        <f t="shared" si="23"/>
        <v>0</v>
      </c>
      <c r="M139" s="684">
        <f t="shared" si="23"/>
        <v>0</v>
      </c>
      <c r="O139" s="679">
        <f t="shared" si="18"/>
        <v>0</v>
      </c>
    </row>
    <row r="140" spans="2:15" ht="28.5" customHeight="1" x14ac:dyDescent="0.25">
      <c r="B140" s="1068" t="str">
        <f>"per 31/12/"&amp;$M$35+6</f>
        <v>per 31/12/2020</v>
      </c>
      <c r="C140" s="1069"/>
      <c r="D140" s="1069"/>
      <c r="E140" s="1070"/>
      <c r="F140" s="162"/>
      <c r="G140" s="935"/>
      <c r="H140" s="935"/>
      <c r="I140" s="684">
        <f t="shared" ref="I140:M140" si="24">+I139+I44</f>
        <v>0</v>
      </c>
      <c r="J140" s="684">
        <f t="shared" si="24"/>
        <v>0</v>
      </c>
      <c r="K140" s="684">
        <f t="shared" si="24"/>
        <v>0</v>
      </c>
      <c r="L140" s="684">
        <f t="shared" si="24"/>
        <v>0</v>
      </c>
      <c r="M140" s="684">
        <f t="shared" si="24"/>
        <v>0</v>
      </c>
      <c r="O140" s="679">
        <f t="shared" si="18"/>
        <v>0</v>
      </c>
    </row>
    <row r="141" spans="2:15" ht="27.75" customHeight="1" x14ac:dyDescent="0.25">
      <c r="B141" s="1077" t="s">
        <v>132</v>
      </c>
      <c r="C141" s="1078"/>
      <c r="D141" s="1078"/>
      <c r="E141" s="1079"/>
      <c r="F141" s="162"/>
      <c r="G141" s="930"/>
      <c r="H141" s="930"/>
      <c r="I141" s="686"/>
      <c r="J141" s="686"/>
      <c r="K141" s="686"/>
      <c r="L141" s="686"/>
      <c r="M141" s="686"/>
      <c r="O141" s="686"/>
    </row>
    <row r="142" spans="2:15" ht="28.5" customHeight="1" x14ac:dyDescent="0.25">
      <c r="B142" s="1068" t="str">
        <f>"per 31/12/"&amp;$M$35</f>
        <v>per 31/12/2014</v>
      </c>
      <c r="C142" s="1069"/>
      <c r="D142" s="1069"/>
      <c r="E142" s="1070"/>
      <c r="F142" s="162"/>
      <c r="G142" s="935"/>
      <c r="H142" s="935"/>
      <c r="I142" s="684">
        <f>+$I$20+I46</f>
        <v>0</v>
      </c>
      <c r="J142" s="684">
        <f>+$J$20+J46</f>
        <v>0</v>
      </c>
      <c r="K142" s="684">
        <f>+$K$20+K46</f>
        <v>0</v>
      </c>
      <c r="L142" s="684">
        <f>+$L$20+L46</f>
        <v>0</v>
      </c>
      <c r="M142" s="684">
        <f>+$M$20+M46</f>
        <v>0</v>
      </c>
      <c r="O142" s="679">
        <f t="shared" ref="O142:O148" si="25">SUM(I142:M142)</f>
        <v>0</v>
      </c>
    </row>
    <row r="143" spans="2:15" ht="28.5" customHeight="1" x14ac:dyDescent="0.25">
      <c r="B143" s="1068" t="str">
        <f>"per 31/12/"&amp;$M$35+1</f>
        <v>per 31/12/2015</v>
      </c>
      <c r="C143" s="1069"/>
      <c r="D143" s="1069"/>
      <c r="E143" s="1070"/>
      <c r="F143" s="162"/>
      <c r="G143" s="935"/>
      <c r="H143" s="935"/>
      <c r="I143" s="684">
        <f t="shared" ref="I143:M143" si="26">+I142+I47</f>
        <v>0</v>
      </c>
      <c r="J143" s="684">
        <f t="shared" si="26"/>
        <v>0</v>
      </c>
      <c r="K143" s="684">
        <f t="shared" si="26"/>
        <v>0</v>
      </c>
      <c r="L143" s="684">
        <f t="shared" si="26"/>
        <v>0</v>
      </c>
      <c r="M143" s="684">
        <f t="shared" si="26"/>
        <v>0</v>
      </c>
      <c r="O143" s="679">
        <f t="shared" si="25"/>
        <v>0</v>
      </c>
    </row>
    <row r="144" spans="2:15" ht="28.5" customHeight="1" x14ac:dyDescent="0.25">
      <c r="B144" s="1068" t="str">
        <f>"per 31/12/"&amp;$M$35+2</f>
        <v>per 31/12/2016</v>
      </c>
      <c r="C144" s="1069"/>
      <c r="D144" s="1069"/>
      <c r="E144" s="1070"/>
      <c r="F144" s="162"/>
      <c r="G144" s="935"/>
      <c r="H144" s="935"/>
      <c r="I144" s="684">
        <f t="shared" ref="I144:M144" si="27">+I143+I48</f>
        <v>0</v>
      </c>
      <c r="J144" s="684">
        <f t="shared" si="27"/>
        <v>0</v>
      </c>
      <c r="K144" s="684">
        <f t="shared" si="27"/>
        <v>0</v>
      </c>
      <c r="L144" s="684">
        <f t="shared" si="27"/>
        <v>0</v>
      </c>
      <c r="M144" s="684">
        <f t="shared" si="27"/>
        <v>0</v>
      </c>
      <c r="O144" s="679">
        <f t="shared" si="25"/>
        <v>0</v>
      </c>
    </row>
    <row r="145" spans="2:15" ht="28.5" customHeight="1" x14ac:dyDescent="0.25">
      <c r="B145" s="1068" t="str">
        <f>"per 31/12/"&amp;$M$35+3</f>
        <v>per 31/12/2017</v>
      </c>
      <c r="C145" s="1069"/>
      <c r="D145" s="1069"/>
      <c r="E145" s="1070"/>
      <c r="F145" s="162"/>
      <c r="G145" s="935"/>
      <c r="H145" s="935"/>
      <c r="I145" s="684">
        <f t="shared" ref="I145:M145" si="28">+I144+I49</f>
        <v>0</v>
      </c>
      <c r="J145" s="684">
        <f t="shared" si="28"/>
        <v>0</v>
      </c>
      <c r="K145" s="684">
        <f t="shared" si="28"/>
        <v>0</v>
      </c>
      <c r="L145" s="684">
        <f t="shared" si="28"/>
        <v>0</v>
      </c>
      <c r="M145" s="684">
        <f t="shared" si="28"/>
        <v>0</v>
      </c>
      <c r="O145" s="679">
        <f t="shared" si="25"/>
        <v>0</v>
      </c>
    </row>
    <row r="146" spans="2:15" ht="28.5" customHeight="1" x14ac:dyDescent="0.25">
      <c r="B146" s="1068" t="str">
        <f>"per 31/12/"&amp;$M$35+4</f>
        <v>per 31/12/2018</v>
      </c>
      <c r="C146" s="1069"/>
      <c r="D146" s="1069"/>
      <c r="E146" s="1070"/>
      <c r="F146" s="162"/>
      <c r="G146" s="935"/>
      <c r="H146" s="935"/>
      <c r="I146" s="684">
        <f t="shared" ref="I146:M146" si="29">+I145+I50</f>
        <v>0</v>
      </c>
      <c r="J146" s="684">
        <f t="shared" si="29"/>
        <v>0</v>
      </c>
      <c r="K146" s="684">
        <f t="shared" si="29"/>
        <v>0</v>
      </c>
      <c r="L146" s="684">
        <f t="shared" si="29"/>
        <v>0</v>
      </c>
      <c r="M146" s="684">
        <f t="shared" si="29"/>
        <v>0</v>
      </c>
      <c r="O146" s="679">
        <f t="shared" si="25"/>
        <v>0</v>
      </c>
    </row>
    <row r="147" spans="2:15" ht="28.5" customHeight="1" x14ac:dyDescent="0.25">
      <c r="B147" s="1068" t="str">
        <f>"per 31/12/"&amp;$M$35+5</f>
        <v>per 31/12/2019</v>
      </c>
      <c r="C147" s="1069"/>
      <c r="D147" s="1069"/>
      <c r="E147" s="1070"/>
      <c r="F147" s="162"/>
      <c r="G147" s="935"/>
      <c r="H147" s="935"/>
      <c r="I147" s="684">
        <f t="shared" ref="I147:M147" si="30">+I146+I51</f>
        <v>0</v>
      </c>
      <c r="J147" s="684">
        <f t="shared" si="30"/>
        <v>0</v>
      </c>
      <c r="K147" s="684">
        <f t="shared" si="30"/>
        <v>0</v>
      </c>
      <c r="L147" s="684">
        <f t="shared" si="30"/>
        <v>0</v>
      </c>
      <c r="M147" s="684">
        <f t="shared" si="30"/>
        <v>0</v>
      </c>
      <c r="O147" s="679">
        <f t="shared" si="25"/>
        <v>0</v>
      </c>
    </row>
    <row r="148" spans="2:15" ht="28.5" customHeight="1" x14ac:dyDescent="0.25">
      <c r="B148" s="1068" t="str">
        <f>"per 31/12/"&amp;$M$35+6</f>
        <v>per 31/12/2020</v>
      </c>
      <c r="C148" s="1069"/>
      <c r="D148" s="1069"/>
      <c r="E148" s="1070"/>
      <c r="F148" s="162"/>
      <c r="G148" s="935"/>
      <c r="H148" s="935"/>
      <c r="I148" s="684">
        <f t="shared" ref="I148:M148" si="31">+I147+I52</f>
        <v>0</v>
      </c>
      <c r="J148" s="684">
        <f t="shared" si="31"/>
        <v>0</v>
      </c>
      <c r="K148" s="684">
        <f t="shared" si="31"/>
        <v>0</v>
      </c>
      <c r="L148" s="684">
        <f t="shared" si="31"/>
        <v>0</v>
      </c>
      <c r="M148" s="684">
        <f t="shared" si="31"/>
        <v>0</v>
      </c>
      <c r="O148" s="679">
        <f t="shared" si="25"/>
        <v>0</v>
      </c>
    </row>
    <row r="149" spans="2:15" ht="27.75" customHeight="1" x14ac:dyDescent="0.25">
      <c r="B149" s="1077" t="s">
        <v>275</v>
      </c>
      <c r="C149" s="1078"/>
      <c r="D149" s="1078"/>
      <c r="E149" s="1079"/>
      <c r="F149" s="162"/>
      <c r="G149" s="930"/>
      <c r="H149" s="930"/>
      <c r="I149" s="686"/>
      <c r="J149" s="686"/>
      <c r="K149" s="686"/>
      <c r="L149" s="686"/>
      <c r="M149" s="686"/>
      <c r="O149" s="686"/>
    </row>
    <row r="150" spans="2:15" ht="28.5" customHeight="1" x14ac:dyDescent="0.25">
      <c r="B150" s="1068" t="str">
        <f>"per 31/12/"&amp;$M$35</f>
        <v>per 31/12/2014</v>
      </c>
      <c r="C150" s="1069"/>
      <c r="D150" s="1069"/>
      <c r="E150" s="1070"/>
      <c r="F150" s="162"/>
      <c r="G150" s="935"/>
      <c r="H150" s="935"/>
      <c r="I150" s="684">
        <f>+$I$21+I54</f>
        <v>0</v>
      </c>
      <c r="J150" s="684">
        <f>+$J$21+J54</f>
        <v>0</v>
      </c>
      <c r="K150" s="684">
        <f>+$K$21+K54</f>
        <v>0</v>
      </c>
      <c r="L150" s="684">
        <f>+$L$21+L54</f>
        <v>0</v>
      </c>
      <c r="M150" s="684">
        <f>+$M$21+M54</f>
        <v>0</v>
      </c>
      <c r="O150" s="679">
        <f t="shared" ref="O150:O156" si="32">SUM(I150:M150)</f>
        <v>0</v>
      </c>
    </row>
    <row r="151" spans="2:15" ht="28.5" customHeight="1" x14ac:dyDescent="0.25">
      <c r="B151" s="1068" t="str">
        <f>"per 31/12/"&amp;$M$35+1</f>
        <v>per 31/12/2015</v>
      </c>
      <c r="C151" s="1069"/>
      <c r="D151" s="1069"/>
      <c r="E151" s="1070"/>
      <c r="F151" s="162"/>
      <c r="G151" s="935"/>
      <c r="H151" s="935"/>
      <c r="I151" s="684">
        <f t="shared" ref="I151:M151" si="33">+I150+I55</f>
        <v>0</v>
      </c>
      <c r="J151" s="684">
        <f t="shared" si="33"/>
        <v>0</v>
      </c>
      <c r="K151" s="684">
        <f t="shared" si="33"/>
        <v>0</v>
      </c>
      <c r="L151" s="684">
        <f t="shared" si="33"/>
        <v>0</v>
      </c>
      <c r="M151" s="684">
        <f t="shared" si="33"/>
        <v>0</v>
      </c>
      <c r="O151" s="679">
        <f t="shared" si="32"/>
        <v>0</v>
      </c>
    </row>
    <row r="152" spans="2:15" ht="28.5" customHeight="1" x14ac:dyDescent="0.25">
      <c r="B152" s="1068" t="str">
        <f>"per 31/12/"&amp;$M$35+2</f>
        <v>per 31/12/2016</v>
      </c>
      <c r="C152" s="1069"/>
      <c r="D152" s="1069"/>
      <c r="E152" s="1070"/>
      <c r="F152" s="162"/>
      <c r="G152" s="935"/>
      <c r="H152" s="935"/>
      <c r="I152" s="684">
        <f t="shared" ref="I152:M152" si="34">+I151+I56</f>
        <v>0</v>
      </c>
      <c r="J152" s="684">
        <f t="shared" si="34"/>
        <v>0</v>
      </c>
      <c r="K152" s="684">
        <f t="shared" si="34"/>
        <v>0</v>
      </c>
      <c r="L152" s="684">
        <f t="shared" si="34"/>
        <v>0</v>
      </c>
      <c r="M152" s="684">
        <f t="shared" si="34"/>
        <v>0</v>
      </c>
      <c r="O152" s="679">
        <f t="shared" si="32"/>
        <v>0</v>
      </c>
    </row>
    <row r="153" spans="2:15" ht="28.5" customHeight="1" x14ac:dyDescent="0.25">
      <c r="B153" s="1068" t="str">
        <f>"per 31/12/"&amp;$M$35+3</f>
        <v>per 31/12/2017</v>
      </c>
      <c r="C153" s="1069"/>
      <c r="D153" s="1069"/>
      <c r="E153" s="1070"/>
      <c r="F153" s="162"/>
      <c r="G153" s="935"/>
      <c r="H153" s="935"/>
      <c r="I153" s="684">
        <f t="shared" ref="I153:M153" si="35">+I152+I57</f>
        <v>0</v>
      </c>
      <c r="J153" s="684">
        <f t="shared" si="35"/>
        <v>0</v>
      </c>
      <c r="K153" s="684">
        <f t="shared" si="35"/>
        <v>0</v>
      </c>
      <c r="L153" s="684">
        <f t="shared" si="35"/>
        <v>0</v>
      </c>
      <c r="M153" s="684">
        <f t="shared" si="35"/>
        <v>0</v>
      </c>
      <c r="O153" s="679">
        <f t="shared" si="32"/>
        <v>0</v>
      </c>
    </row>
    <row r="154" spans="2:15" ht="28.5" customHeight="1" x14ac:dyDescent="0.25">
      <c r="B154" s="1068" t="str">
        <f>"per 31/12/"&amp;$M$35+4</f>
        <v>per 31/12/2018</v>
      </c>
      <c r="C154" s="1069"/>
      <c r="D154" s="1069"/>
      <c r="E154" s="1070"/>
      <c r="F154" s="162"/>
      <c r="G154" s="935"/>
      <c r="H154" s="935"/>
      <c r="I154" s="684">
        <f t="shared" ref="I154:M154" si="36">+I153+I58</f>
        <v>0</v>
      </c>
      <c r="J154" s="684">
        <f t="shared" si="36"/>
        <v>0</v>
      </c>
      <c r="K154" s="684">
        <f t="shared" si="36"/>
        <v>0</v>
      </c>
      <c r="L154" s="684">
        <f t="shared" si="36"/>
        <v>0</v>
      </c>
      <c r="M154" s="684">
        <f t="shared" si="36"/>
        <v>0</v>
      </c>
      <c r="O154" s="679">
        <f t="shared" si="32"/>
        <v>0</v>
      </c>
    </row>
    <row r="155" spans="2:15" ht="28.5" customHeight="1" x14ac:dyDescent="0.25">
      <c r="B155" s="1068" t="str">
        <f>"per 31/12/"&amp;$M$35+5</f>
        <v>per 31/12/2019</v>
      </c>
      <c r="C155" s="1069"/>
      <c r="D155" s="1069"/>
      <c r="E155" s="1070"/>
      <c r="F155" s="162"/>
      <c r="G155" s="935"/>
      <c r="H155" s="935"/>
      <c r="I155" s="684">
        <f t="shared" ref="I155:M155" si="37">+I154+I59</f>
        <v>0</v>
      </c>
      <c r="J155" s="684">
        <f t="shared" si="37"/>
        <v>0</v>
      </c>
      <c r="K155" s="684">
        <f t="shared" si="37"/>
        <v>0</v>
      </c>
      <c r="L155" s="684">
        <f t="shared" si="37"/>
        <v>0</v>
      </c>
      <c r="M155" s="684">
        <f t="shared" si="37"/>
        <v>0</v>
      </c>
      <c r="O155" s="679">
        <f t="shared" si="32"/>
        <v>0</v>
      </c>
    </row>
    <row r="156" spans="2:15" ht="28.5" customHeight="1" x14ac:dyDescent="0.25">
      <c r="B156" s="1068" t="str">
        <f>"per 31/12/"&amp;$M$35+6</f>
        <v>per 31/12/2020</v>
      </c>
      <c r="C156" s="1069"/>
      <c r="D156" s="1069"/>
      <c r="E156" s="1070"/>
      <c r="F156" s="162"/>
      <c r="G156" s="935"/>
      <c r="H156" s="935"/>
      <c r="I156" s="684">
        <f t="shared" ref="I156:M156" si="38">+I155+I60</f>
        <v>0</v>
      </c>
      <c r="J156" s="684">
        <f t="shared" si="38"/>
        <v>0</v>
      </c>
      <c r="K156" s="684">
        <f t="shared" si="38"/>
        <v>0</v>
      </c>
      <c r="L156" s="684">
        <f t="shared" si="38"/>
        <v>0</v>
      </c>
      <c r="M156" s="684">
        <f t="shared" si="38"/>
        <v>0</v>
      </c>
      <c r="O156" s="679">
        <f t="shared" si="32"/>
        <v>0</v>
      </c>
    </row>
    <row r="157" spans="2:15" ht="30" customHeight="1" x14ac:dyDescent="0.25">
      <c r="B157" s="1077" t="s">
        <v>133</v>
      </c>
      <c r="C157" s="1078"/>
      <c r="D157" s="1078"/>
      <c r="E157" s="1079"/>
      <c r="F157" s="162"/>
      <c r="G157" s="930"/>
      <c r="H157" s="930"/>
      <c r="I157" s="686"/>
      <c r="J157" s="686"/>
      <c r="K157" s="686"/>
      <c r="L157" s="686"/>
      <c r="M157" s="686"/>
      <c r="O157" s="686"/>
    </row>
    <row r="158" spans="2:15" ht="28.5" customHeight="1" x14ac:dyDescent="0.25">
      <c r="B158" s="1068" t="str">
        <f>"per 31/12/"&amp;$M$35</f>
        <v>per 31/12/2014</v>
      </c>
      <c r="C158" s="1069"/>
      <c r="D158" s="1069"/>
      <c r="E158" s="1070"/>
      <c r="F158" s="162"/>
      <c r="G158" s="935"/>
      <c r="H158" s="935"/>
      <c r="I158" s="684">
        <f>+$I$22+I62</f>
        <v>0</v>
      </c>
      <c r="J158" s="684">
        <f>+$J$22+J62</f>
        <v>0</v>
      </c>
      <c r="K158" s="684">
        <f>+$K$22+K62</f>
        <v>0</v>
      </c>
      <c r="L158" s="684">
        <f>+$L$22+L62</f>
        <v>0</v>
      </c>
      <c r="M158" s="684">
        <f>+$M$22+M62</f>
        <v>0</v>
      </c>
      <c r="O158" s="679">
        <f t="shared" ref="O158:O164" si="39">SUM(I158:M158)</f>
        <v>0</v>
      </c>
    </row>
    <row r="159" spans="2:15" ht="28.5" customHeight="1" x14ac:dyDescent="0.25">
      <c r="B159" s="1068" t="str">
        <f>"per 31/12/"&amp;$M$35+1</f>
        <v>per 31/12/2015</v>
      </c>
      <c r="C159" s="1069"/>
      <c r="D159" s="1069"/>
      <c r="E159" s="1070"/>
      <c r="F159" s="162"/>
      <c r="G159" s="935"/>
      <c r="H159" s="935"/>
      <c r="I159" s="684">
        <f t="shared" ref="I159:M159" si="40">+I158+I63</f>
        <v>0</v>
      </c>
      <c r="J159" s="684">
        <f t="shared" si="40"/>
        <v>0</v>
      </c>
      <c r="K159" s="684">
        <f t="shared" si="40"/>
        <v>0</v>
      </c>
      <c r="L159" s="684">
        <f t="shared" si="40"/>
        <v>0</v>
      </c>
      <c r="M159" s="684">
        <f t="shared" si="40"/>
        <v>0</v>
      </c>
      <c r="O159" s="679">
        <f t="shared" si="39"/>
        <v>0</v>
      </c>
    </row>
    <row r="160" spans="2:15" ht="28.5" customHeight="1" x14ac:dyDescent="0.25">
      <c r="B160" s="1068" t="str">
        <f>"per 31/12/"&amp;$M$35+2</f>
        <v>per 31/12/2016</v>
      </c>
      <c r="C160" s="1069"/>
      <c r="D160" s="1069"/>
      <c r="E160" s="1070"/>
      <c r="F160" s="162"/>
      <c r="G160" s="935"/>
      <c r="H160" s="935"/>
      <c r="I160" s="684">
        <f t="shared" ref="I160:M160" si="41">+I159+I64</f>
        <v>0</v>
      </c>
      <c r="J160" s="684">
        <f t="shared" si="41"/>
        <v>0</v>
      </c>
      <c r="K160" s="684">
        <f t="shared" si="41"/>
        <v>0</v>
      </c>
      <c r="L160" s="684">
        <f t="shared" si="41"/>
        <v>0</v>
      </c>
      <c r="M160" s="684">
        <f t="shared" si="41"/>
        <v>0</v>
      </c>
      <c r="O160" s="679">
        <f t="shared" si="39"/>
        <v>0</v>
      </c>
    </row>
    <row r="161" spans="2:15" ht="28.5" customHeight="1" x14ac:dyDescent="0.25">
      <c r="B161" s="1068" t="str">
        <f>"per 31/12/"&amp;$M$35+3</f>
        <v>per 31/12/2017</v>
      </c>
      <c r="C161" s="1069"/>
      <c r="D161" s="1069"/>
      <c r="E161" s="1070"/>
      <c r="F161" s="162"/>
      <c r="G161" s="935"/>
      <c r="H161" s="935"/>
      <c r="I161" s="684">
        <f t="shared" ref="I161:M161" si="42">+I160+I65</f>
        <v>0</v>
      </c>
      <c r="J161" s="684">
        <f t="shared" si="42"/>
        <v>0</v>
      </c>
      <c r="K161" s="684">
        <f t="shared" si="42"/>
        <v>0</v>
      </c>
      <c r="L161" s="684">
        <f t="shared" si="42"/>
        <v>0</v>
      </c>
      <c r="M161" s="684">
        <f t="shared" si="42"/>
        <v>0</v>
      </c>
      <c r="O161" s="679">
        <f t="shared" si="39"/>
        <v>0</v>
      </c>
    </row>
    <row r="162" spans="2:15" ht="28.5" customHeight="1" x14ac:dyDescent="0.25">
      <c r="B162" s="1068" t="str">
        <f>"per 31/12/"&amp;$M$35+4</f>
        <v>per 31/12/2018</v>
      </c>
      <c r="C162" s="1069"/>
      <c r="D162" s="1069"/>
      <c r="E162" s="1070"/>
      <c r="F162" s="162"/>
      <c r="G162" s="935"/>
      <c r="H162" s="935"/>
      <c r="I162" s="684">
        <f t="shared" ref="I162:M162" si="43">+I161+I66</f>
        <v>0</v>
      </c>
      <c r="J162" s="684">
        <f t="shared" si="43"/>
        <v>0</v>
      </c>
      <c r="K162" s="684">
        <f t="shared" si="43"/>
        <v>0</v>
      </c>
      <c r="L162" s="684">
        <f t="shared" si="43"/>
        <v>0</v>
      </c>
      <c r="M162" s="684">
        <f t="shared" si="43"/>
        <v>0</v>
      </c>
      <c r="O162" s="679">
        <f t="shared" si="39"/>
        <v>0</v>
      </c>
    </row>
    <row r="163" spans="2:15" ht="28.5" customHeight="1" x14ac:dyDescent="0.25">
      <c r="B163" s="1068" t="str">
        <f>"per 31/12/"&amp;$M$35+5</f>
        <v>per 31/12/2019</v>
      </c>
      <c r="C163" s="1069"/>
      <c r="D163" s="1069"/>
      <c r="E163" s="1070"/>
      <c r="F163" s="162"/>
      <c r="G163" s="935"/>
      <c r="H163" s="935"/>
      <c r="I163" s="684">
        <f t="shared" ref="I163:M163" si="44">+I162+I67</f>
        <v>0</v>
      </c>
      <c r="J163" s="684">
        <f t="shared" si="44"/>
        <v>0</v>
      </c>
      <c r="K163" s="684">
        <f t="shared" si="44"/>
        <v>0</v>
      </c>
      <c r="L163" s="684">
        <f t="shared" si="44"/>
        <v>0</v>
      </c>
      <c r="M163" s="684">
        <f t="shared" si="44"/>
        <v>0</v>
      </c>
      <c r="O163" s="679">
        <f t="shared" si="39"/>
        <v>0</v>
      </c>
    </row>
    <row r="164" spans="2:15" ht="28.5" customHeight="1" x14ac:dyDescent="0.25">
      <c r="B164" s="1068" t="str">
        <f>"per 31/12/"&amp;$M$35+6</f>
        <v>per 31/12/2020</v>
      </c>
      <c r="C164" s="1069"/>
      <c r="D164" s="1069"/>
      <c r="E164" s="1070"/>
      <c r="F164" s="162"/>
      <c r="G164" s="935"/>
      <c r="H164" s="935"/>
      <c r="I164" s="684">
        <f t="shared" ref="I164:M164" si="45">+I163+I68</f>
        <v>0</v>
      </c>
      <c r="J164" s="684">
        <f t="shared" si="45"/>
        <v>0</v>
      </c>
      <c r="K164" s="684">
        <f t="shared" si="45"/>
        <v>0</v>
      </c>
      <c r="L164" s="684">
        <f t="shared" si="45"/>
        <v>0</v>
      </c>
      <c r="M164" s="684">
        <f t="shared" si="45"/>
        <v>0</v>
      </c>
      <c r="O164" s="679">
        <f t="shared" si="39"/>
        <v>0</v>
      </c>
    </row>
    <row r="165" spans="2:15" ht="45" customHeight="1" x14ac:dyDescent="0.25">
      <c r="B165" s="1077" t="s">
        <v>277</v>
      </c>
      <c r="C165" s="1078"/>
      <c r="D165" s="1078"/>
      <c r="E165" s="1079"/>
      <c r="F165" s="162"/>
      <c r="G165" s="930"/>
      <c r="H165" s="930"/>
      <c r="I165" s="686"/>
      <c r="J165" s="686"/>
      <c r="K165" s="686"/>
      <c r="L165" s="686"/>
      <c r="M165" s="686"/>
      <c r="O165" s="686"/>
    </row>
    <row r="166" spans="2:15" ht="28.5" customHeight="1" x14ac:dyDescent="0.25">
      <c r="B166" s="1068" t="str">
        <f>"per 31/12/"&amp;$M$35</f>
        <v>per 31/12/2014</v>
      </c>
      <c r="C166" s="1069"/>
      <c r="D166" s="1069"/>
      <c r="E166" s="1070"/>
      <c r="F166" s="162"/>
      <c r="G166" s="935"/>
      <c r="H166" s="935"/>
      <c r="I166" s="684">
        <f>+$I$23+I70</f>
        <v>0</v>
      </c>
      <c r="J166" s="684">
        <f>+$J$23+J70</f>
        <v>0</v>
      </c>
      <c r="K166" s="684">
        <f>+$K$23+K70</f>
        <v>0</v>
      </c>
      <c r="L166" s="684">
        <f>+$L$23+L70</f>
        <v>0</v>
      </c>
      <c r="M166" s="684">
        <f>+$M$23+M70</f>
        <v>0</v>
      </c>
      <c r="O166" s="679">
        <f t="shared" ref="O166:O172" si="46">SUM(I166:M166)</f>
        <v>0</v>
      </c>
    </row>
    <row r="167" spans="2:15" ht="28.5" customHeight="1" x14ac:dyDescent="0.25">
      <c r="B167" s="1068" t="str">
        <f>"per 31/12/"&amp;$M$35+1</f>
        <v>per 31/12/2015</v>
      </c>
      <c r="C167" s="1069"/>
      <c r="D167" s="1069"/>
      <c r="E167" s="1070"/>
      <c r="F167" s="162"/>
      <c r="G167" s="935"/>
      <c r="H167" s="935"/>
      <c r="I167" s="684">
        <f t="shared" ref="I167:M167" si="47">+I166+I71</f>
        <v>0</v>
      </c>
      <c r="J167" s="684">
        <f t="shared" si="47"/>
        <v>0</v>
      </c>
      <c r="K167" s="684">
        <f t="shared" si="47"/>
        <v>0</v>
      </c>
      <c r="L167" s="684">
        <f t="shared" si="47"/>
        <v>0</v>
      </c>
      <c r="M167" s="684">
        <f t="shared" si="47"/>
        <v>0</v>
      </c>
      <c r="O167" s="679">
        <f t="shared" si="46"/>
        <v>0</v>
      </c>
    </row>
    <row r="168" spans="2:15" ht="28.5" customHeight="1" x14ac:dyDescent="0.25">
      <c r="B168" s="1068" t="str">
        <f>"per 31/12/"&amp;$M$35+2</f>
        <v>per 31/12/2016</v>
      </c>
      <c r="C168" s="1069"/>
      <c r="D168" s="1069"/>
      <c r="E168" s="1070"/>
      <c r="F168" s="162"/>
      <c r="G168" s="935"/>
      <c r="H168" s="935"/>
      <c r="I168" s="684">
        <f t="shared" ref="I168:M168" si="48">+I167+I72</f>
        <v>0</v>
      </c>
      <c r="J168" s="684">
        <f t="shared" si="48"/>
        <v>0</v>
      </c>
      <c r="K168" s="684">
        <f t="shared" si="48"/>
        <v>0</v>
      </c>
      <c r="L168" s="684">
        <f t="shared" si="48"/>
        <v>0</v>
      </c>
      <c r="M168" s="684">
        <f t="shared" si="48"/>
        <v>0</v>
      </c>
      <c r="O168" s="679">
        <f t="shared" si="46"/>
        <v>0</v>
      </c>
    </row>
    <row r="169" spans="2:15" ht="28.5" customHeight="1" x14ac:dyDescent="0.25">
      <c r="B169" s="1068" t="str">
        <f>"per 31/12/"&amp;$M$35+3</f>
        <v>per 31/12/2017</v>
      </c>
      <c r="C169" s="1069"/>
      <c r="D169" s="1069"/>
      <c r="E169" s="1070"/>
      <c r="F169" s="162"/>
      <c r="G169" s="935"/>
      <c r="H169" s="935"/>
      <c r="I169" s="684">
        <f t="shared" ref="I169:M169" si="49">+I168+I73</f>
        <v>0</v>
      </c>
      <c r="J169" s="684">
        <f t="shared" si="49"/>
        <v>0</v>
      </c>
      <c r="K169" s="684">
        <f t="shared" si="49"/>
        <v>0</v>
      </c>
      <c r="L169" s="684">
        <f t="shared" si="49"/>
        <v>0</v>
      </c>
      <c r="M169" s="684">
        <f t="shared" si="49"/>
        <v>0</v>
      </c>
      <c r="O169" s="679">
        <f t="shared" si="46"/>
        <v>0</v>
      </c>
    </row>
    <row r="170" spans="2:15" ht="28.5" customHeight="1" x14ac:dyDescent="0.25">
      <c r="B170" s="1068" t="str">
        <f>"per 31/12/"&amp;$M$35+4</f>
        <v>per 31/12/2018</v>
      </c>
      <c r="C170" s="1069"/>
      <c r="D170" s="1069"/>
      <c r="E170" s="1070"/>
      <c r="F170" s="162"/>
      <c r="G170" s="935"/>
      <c r="H170" s="935"/>
      <c r="I170" s="684">
        <f t="shared" ref="I170:M170" si="50">+I169+I74</f>
        <v>0</v>
      </c>
      <c r="J170" s="684">
        <f t="shared" si="50"/>
        <v>0</v>
      </c>
      <c r="K170" s="684">
        <f t="shared" si="50"/>
        <v>0</v>
      </c>
      <c r="L170" s="684">
        <f t="shared" si="50"/>
        <v>0</v>
      </c>
      <c r="M170" s="684">
        <f t="shared" si="50"/>
        <v>0</v>
      </c>
      <c r="O170" s="679">
        <f t="shared" si="46"/>
        <v>0</v>
      </c>
    </row>
    <row r="171" spans="2:15" ht="28.5" customHeight="1" x14ac:dyDescent="0.25">
      <c r="B171" s="1068" t="str">
        <f>"per 31/12/"&amp;$M$35+5</f>
        <v>per 31/12/2019</v>
      </c>
      <c r="C171" s="1069"/>
      <c r="D171" s="1069"/>
      <c r="E171" s="1070"/>
      <c r="F171" s="162"/>
      <c r="G171" s="935"/>
      <c r="H171" s="935"/>
      <c r="I171" s="684">
        <f t="shared" ref="I171:M171" si="51">+I170+I75</f>
        <v>0</v>
      </c>
      <c r="J171" s="684">
        <f t="shared" si="51"/>
        <v>0</v>
      </c>
      <c r="K171" s="684">
        <f t="shared" si="51"/>
        <v>0</v>
      </c>
      <c r="L171" s="684">
        <f t="shared" si="51"/>
        <v>0</v>
      </c>
      <c r="M171" s="684">
        <f t="shared" si="51"/>
        <v>0</v>
      </c>
      <c r="O171" s="679">
        <f t="shared" si="46"/>
        <v>0</v>
      </c>
    </row>
    <row r="172" spans="2:15" ht="28.5" customHeight="1" x14ac:dyDescent="0.25">
      <c r="B172" s="1068" t="str">
        <f>"per 31/12/"&amp;$M$35+6</f>
        <v>per 31/12/2020</v>
      </c>
      <c r="C172" s="1069"/>
      <c r="D172" s="1069"/>
      <c r="E172" s="1070"/>
      <c r="F172" s="162"/>
      <c r="G172" s="935"/>
      <c r="H172" s="935"/>
      <c r="I172" s="684">
        <f t="shared" ref="I172:M172" si="52">+I171+I76</f>
        <v>0</v>
      </c>
      <c r="J172" s="684">
        <f t="shared" si="52"/>
        <v>0</v>
      </c>
      <c r="K172" s="684">
        <f t="shared" si="52"/>
        <v>0</v>
      </c>
      <c r="L172" s="684">
        <f t="shared" si="52"/>
        <v>0</v>
      </c>
      <c r="M172" s="684">
        <f t="shared" si="52"/>
        <v>0</v>
      </c>
      <c r="O172" s="679">
        <f t="shared" si="46"/>
        <v>0</v>
      </c>
    </row>
    <row r="173" spans="2:15" ht="33" customHeight="1" x14ac:dyDescent="0.25">
      <c r="B173" s="1077" t="s">
        <v>239</v>
      </c>
      <c r="C173" s="1078"/>
      <c r="D173" s="1078"/>
      <c r="E173" s="1079"/>
      <c r="F173" s="162"/>
      <c r="G173" s="930"/>
      <c r="H173" s="930"/>
      <c r="I173" s="686"/>
      <c r="J173" s="686"/>
      <c r="K173" s="686"/>
      <c r="L173" s="686"/>
      <c r="M173" s="686"/>
      <c r="O173" s="686"/>
    </row>
    <row r="174" spans="2:15" ht="28.5" customHeight="1" x14ac:dyDescent="0.25">
      <c r="B174" s="1068" t="str">
        <f>"per 31/12/"&amp;$M$35</f>
        <v>per 31/12/2014</v>
      </c>
      <c r="C174" s="1069"/>
      <c r="D174" s="1069"/>
      <c r="E174" s="1070"/>
      <c r="F174" s="162"/>
      <c r="G174" s="935"/>
      <c r="H174" s="935"/>
      <c r="I174" s="684">
        <f>+$I$24+I78</f>
        <v>0</v>
      </c>
      <c r="J174" s="684">
        <f>+$J$24+J78</f>
        <v>0</v>
      </c>
      <c r="K174" s="684">
        <f>+$K$24+K78</f>
        <v>0</v>
      </c>
      <c r="L174" s="684">
        <f>+$L$24+L78</f>
        <v>0</v>
      </c>
      <c r="M174" s="684">
        <f>+$M$24+M78</f>
        <v>0</v>
      </c>
      <c r="O174" s="679">
        <f t="shared" ref="O174:O180" si="53">SUM(I174:M174)</f>
        <v>0</v>
      </c>
    </row>
    <row r="175" spans="2:15" ht="28.5" customHeight="1" x14ac:dyDescent="0.25">
      <c r="B175" s="1068" t="str">
        <f>"per 31/12/"&amp;$M$35+1</f>
        <v>per 31/12/2015</v>
      </c>
      <c r="C175" s="1069"/>
      <c r="D175" s="1069"/>
      <c r="E175" s="1070"/>
      <c r="F175" s="162"/>
      <c r="G175" s="935"/>
      <c r="H175" s="935"/>
      <c r="I175" s="684">
        <f t="shared" ref="I175:M175" si="54">+I174+I79</f>
        <v>0</v>
      </c>
      <c r="J175" s="684">
        <f t="shared" si="54"/>
        <v>0</v>
      </c>
      <c r="K175" s="684">
        <f t="shared" si="54"/>
        <v>0</v>
      </c>
      <c r="L175" s="684">
        <f t="shared" si="54"/>
        <v>0</v>
      </c>
      <c r="M175" s="684">
        <f t="shared" si="54"/>
        <v>0</v>
      </c>
      <c r="O175" s="679">
        <f t="shared" si="53"/>
        <v>0</v>
      </c>
    </row>
    <row r="176" spans="2:15" ht="28.5" customHeight="1" x14ac:dyDescent="0.25">
      <c r="B176" s="1068" t="str">
        <f>"per 31/12/"&amp;$M$35+2</f>
        <v>per 31/12/2016</v>
      </c>
      <c r="C176" s="1069"/>
      <c r="D176" s="1069"/>
      <c r="E176" s="1070"/>
      <c r="F176" s="162"/>
      <c r="G176" s="935"/>
      <c r="H176" s="935"/>
      <c r="I176" s="684">
        <f t="shared" ref="I176:M176" si="55">+I175+I80</f>
        <v>0</v>
      </c>
      <c r="J176" s="684">
        <f t="shared" si="55"/>
        <v>0</v>
      </c>
      <c r="K176" s="684">
        <f t="shared" si="55"/>
        <v>0</v>
      </c>
      <c r="L176" s="684">
        <f t="shared" si="55"/>
        <v>0</v>
      </c>
      <c r="M176" s="684">
        <f t="shared" si="55"/>
        <v>0</v>
      </c>
      <c r="O176" s="679">
        <f t="shared" si="53"/>
        <v>0</v>
      </c>
    </row>
    <row r="177" spans="2:15" ht="28.5" customHeight="1" x14ac:dyDescent="0.25">
      <c r="B177" s="1068" t="str">
        <f>"per 31/12/"&amp;$M$35+3</f>
        <v>per 31/12/2017</v>
      </c>
      <c r="C177" s="1069"/>
      <c r="D177" s="1069"/>
      <c r="E177" s="1070"/>
      <c r="F177" s="162"/>
      <c r="G177" s="935"/>
      <c r="H177" s="935"/>
      <c r="I177" s="684">
        <f t="shared" ref="I177:M177" si="56">+I176+I81</f>
        <v>0</v>
      </c>
      <c r="J177" s="684">
        <f t="shared" si="56"/>
        <v>0</v>
      </c>
      <c r="K177" s="684">
        <f t="shared" si="56"/>
        <v>0</v>
      </c>
      <c r="L177" s="684">
        <f t="shared" si="56"/>
        <v>0</v>
      </c>
      <c r="M177" s="684">
        <f t="shared" si="56"/>
        <v>0</v>
      </c>
      <c r="O177" s="679">
        <f t="shared" si="53"/>
        <v>0</v>
      </c>
    </row>
    <row r="178" spans="2:15" ht="28.5" customHeight="1" x14ac:dyDescent="0.25">
      <c r="B178" s="1068" t="str">
        <f>"per 31/12/"&amp;$M$35+4</f>
        <v>per 31/12/2018</v>
      </c>
      <c r="C178" s="1069"/>
      <c r="D178" s="1069"/>
      <c r="E178" s="1070"/>
      <c r="F178" s="162"/>
      <c r="G178" s="935"/>
      <c r="H178" s="935"/>
      <c r="I178" s="684">
        <f t="shared" ref="I178:M178" si="57">+I177+I82</f>
        <v>0</v>
      </c>
      <c r="J178" s="684">
        <f t="shared" si="57"/>
        <v>0</v>
      </c>
      <c r="K178" s="684">
        <f t="shared" si="57"/>
        <v>0</v>
      </c>
      <c r="L178" s="684">
        <f t="shared" si="57"/>
        <v>0</v>
      </c>
      <c r="M178" s="684">
        <f t="shared" si="57"/>
        <v>0</v>
      </c>
      <c r="O178" s="679">
        <f t="shared" si="53"/>
        <v>0</v>
      </c>
    </row>
    <row r="179" spans="2:15" ht="28.5" customHeight="1" x14ac:dyDescent="0.25">
      <c r="B179" s="1068" t="str">
        <f>"per 31/12/"&amp;$M$35+5</f>
        <v>per 31/12/2019</v>
      </c>
      <c r="C179" s="1069"/>
      <c r="D179" s="1069"/>
      <c r="E179" s="1070"/>
      <c r="F179" s="162"/>
      <c r="G179" s="935"/>
      <c r="H179" s="935"/>
      <c r="I179" s="684">
        <f t="shared" ref="I179:M179" si="58">+I178+I83</f>
        <v>0</v>
      </c>
      <c r="J179" s="684">
        <f t="shared" si="58"/>
        <v>0</v>
      </c>
      <c r="K179" s="684">
        <f t="shared" si="58"/>
        <v>0</v>
      </c>
      <c r="L179" s="684">
        <f t="shared" si="58"/>
        <v>0</v>
      </c>
      <c r="M179" s="684">
        <f t="shared" si="58"/>
        <v>0</v>
      </c>
      <c r="O179" s="679">
        <f t="shared" si="53"/>
        <v>0</v>
      </c>
    </row>
    <row r="180" spans="2:15" ht="28.5" customHeight="1" x14ac:dyDescent="0.25">
      <c r="B180" s="1068" t="str">
        <f>"per 31/12/"&amp;$M$35+6</f>
        <v>per 31/12/2020</v>
      </c>
      <c r="C180" s="1069"/>
      <c r="D180" s="1069"/>
      <c r="E180" s="1070"/>
      <c r="F180" s="162"/>
      <c r="G180" s="935"/>
      <c r="H180" s="935"/>
      <c r="I180" s="684">
        <f t="shared" ref="I180:M180" si="59">+I179+I84</f>
        <v>0</v>
      </c>
      <c r="J180" s="684">
        <f t="shared" si="59"/>
        <v>0</v>
      </c>
      <c r="K180" s="684">
        <f t="shared" si="59"/>
        <v>0</v>
      </c>
      <c r="L180" s="684">
        <f t="shared" si="59"/>
        <v>0</v>
      </c>
      <c r="M180" s="684">
        <f t="shared" si="59"/>
        <v>0</v>
      </c>
      <c r="O180" s="679">
        <f t="shared" si="53"/>
        <v>0</v>
      </c>
    </row>
    <row r="181" spans="2:15" ht="26.25" customHeight="1" x14ac:dyDescent="0.25">
      <c r="B181" s="1077" t="s">
        <v>237</v>
      </c>
      <c r="C181" s="1078"/>
      <c r="D181" s="1078"/>
      <c r="E181" s="1079"/>
      <c r="F181" s="162"/>
      <c r="G181" s="930"/>
      <c r="H181" s="930"/>
      <c r="I181" s="686"/>
      <c r="J181" s="686"/>
      <c r="K181" s="686"/>
      <c r="L181" s="686"/>
      <c r="M181" s="686"/>
      <c r="O181" s="686"/>
    </row>
    <row r="182" spans="2:15" ht="28.5" customHeight="1" x14ac:dyDescent="0.25">
      <c r="B182" s="1068" t="str">
        <f>"per 31/12/"&amp;$M$35</f>
        <v>per 31/12/2014</v>
      </c>
      <c r="C182" s="1069"/>
      <c r="D182" s="1069"/>
      <c r="E182" s="1070"/>
      <c r="F182" s="162"/>
      <c r="G182" s="935"/>
      <c r="H182" s="935"/>
      <c r="I182" s="684">
        <f>+$I$25+I86</f>
        <v>0</v>
      </c>
      <c r="J182" s="684">
        <f>+$J$25+J86</f>
        <v>0</v>
      </c>
      <c r="K182" s="684">
        <f>+$K$25+K86</f>
        <v>0</v>
      </c>
      <c r="L182" s="684">
        <f>+$L$25+L86</f>
        <v>0</v>
      </c>
      <c r="M182" s="684">
        <f>+$M$25+M86</f>
        <v>0</v>
      </c>
      <c r="O182" s="679">
        <f t="shared" ref="O182:O188" si="60">SUM(I182:M182)</f>
        <v>0</v>
      </c>
    </row>
    <row r="183" spans="2:15" ht="28.5" customHeight="1" x14ac:dyDescent="0.25">
      <c r="B183" s="1068" t="str">
        <f>"per 31/12/"&amp;$M$35+1</f>
        <v>per 31/12/2015</v>
      </c>
      <c r="C183" s="1069"/>
      <c r="D183" s="1069"/>
      <c r="E183" s="1070"/>
      <c r="F183" s="162"/>
      <c r="G183" s="935"/>
      <c r="H183" s="935"/>
      <c r="I183" s="684">
        <f t="shared" ref="I183:M183" si="61">+I182+I87</f>
        <v>0</v>
      </c>
      <c r="J183" s="684">
        <f t="shared" si="61"/>
        <v>0</v>
      </c>
      <c r="K183" s="684">
        <f t="shared" si="61"/>
        <v>0</v>
      </c>
      <c r="L183" s="684">
        <f t="shared" si="61"/>
        <v>0</v>
      </c>
      <c r="M183" s="684">
        <f t="shared" si="61"/>
        <v>0</v>
      </c>
      <c r="O183" s="679">
        <f t="shared" si="60"/>
        <v>0</v>
      </c>
    </row>
    <row r="184" spans="2:15" ht="28.5" customHeight="1" x14ac:dyDescent="0.25">
      <c r="B184" s="1068" t="str">
        <f>"per 31/12/"&amp;$M$35+2</f>
        <v>per 31/12/2016</v>
      </c>
      <c r="C184" s="1069"/>
      <c r="D184" s="1069"/>
      <c r="E184" s="1070"/>
      <c r="F184" s="162"/>
      <c r="G184" s="935"/>
      <c r="H184" s="935"/>
      <c r="I184" s="684">
        <f t="shared" ref="I184:M184" si="62">+I183+I88</f>
        <v>0</v>
      </c>
      <c r="J184" s="684">
        <f t="shared" si="62"/>
        <v>0</v>
      </c>
      <c r="K184" s="684">
        <f t="shared" si="62"/>
        <v>0</v>
      </c>
      <c r="L184" s="684">
        <f t="shared" si="62"/>
        <v>0</v>
      </c>
      <c r="M184" s="684">
        <f t="shared" si="62"/>
        <v>0</v>
      </c>
      <c r="O184" s="679">
        <f t="shared" si="60"/>
        <v>0</v>
      </c>
    </row>
    <row r="185" spans="2:15" ht="28.5" customHeight="1" x14ac:dyDescent="0.25">
      <c r="B185" s="1068" t="str">
        <f>"per 31/12/"&amp;$M$35+3</f>
        <v>per 31/12/2017</v>
      </c>
      <c r="C185" s="1069"/>
      <c r="D185" s="1069"/>
      <c r="E185" s="1070"/>
      <c r="F185" s="162"/>
      <c r="G185" s="935"/>
      <c r="H185" s="935"/>
      <c r="I185" s="684">
        <f t="shared" ref="I185:M185" si="63">+I184+I89</f>
        <v>0</v>
      </c>
      <c r="J185" s="684">
        <f t="shared" si="63"/>
        <v>0</v>
      </c>
      <c r="K185" s="684">
        <f t="shared" si="63"/>
        <v>0</v>
      </c>
      <c r="L185" s="684">
        <f t="shared" si="63"/>
        <v>0</v>
      </c>
      <c r="M185" s="684">
        <f t="shared" si="63"/>
        <v>0</v>
      </c>
      <c r="O185" s="679">
        <f t="shared" si="60"/>
        <v>0</v>
      </c>
    </row>
    <row r="186" spans="2:15" ht="28.5" customHeight="1" x14ac:dyDescent="0.25">
      <c r="B186" s="1068" t="str">
        <f>"per 31/12/"&amp;$M$35+4</f>
        <v>per 31/12/2018</v>
      </c>
      <c r="C186" s="1069"/>
      <c r="D186" s="1069"/>
      <c r="E186" s="1070"/>
      <c r="F186" s="162"/>
      <c r="G186" s="935"/>
      <c r="H186" s="935"/>
      <c r="I186" s="684">
        <f t="shared" ref="I186:M186" si="64">+I185+I90</f>
        <v>0</v>
      </c>
      <c r="J186" s="684">
        <f t="shared" si="64"/>
        <v>0</v>
      </c>
      <c r="K186" s="684">
        <f t="shared" si="64"/>
        <v>0</v>
      </c>
      <c r="L186" s="684">
        <f t="shared" si="64"/>
        <v>0</v>
      </c>
      <c r="M186" s="684">
        <f t="shared" si="64"/>
        <v>0</v>
      </c>
      <c r="O186" s="679">
        <f t="shared" si="60"/>
        <v>0</v>
      </c>
    </row>
    <row r="187" spans="2:15" ht="28.5" customHeight="1" x14ac:dyDescent="0.25">
      <c r="B187" s="1068" t="str">
        <f>"per 31/12/"&amp;$M$35+5</f>
        <v>per 31/12/2019</v>
      </c>
      <c r="C187" s="1069"/>
      <c r="D187" s="1069"/>
      <c r="E187" s="1070"/>
      <c r="F187" s="162"/>
      <c r="G187" s="935"/>
      <c r="H187" s="935"/>
      <c r="I187" s="684">
        <f t="shared" ref="I187:M187" si="65">+I186+I91</f>
        <v>0</v>
      </c>
      <c r="J187" s="684">
        <f t="shared" si="65"/>
        <v>0</v>
      </c>
      <c r="K187" s="684">
        <f t="shared" si="65"/>
        <v>0</v>
      </c>
      <c r="L187" s="684">
        <f t="shared" si="65"/>
        <v>0</v>
      </c>
      <c r="M187" s="684">
        <f t="shared" si="65"/>
        <v>0</v>
      </c>
      <c r="O187" s="679">
        <f t="shared" si="60"/>
        <v>0</v>
      </c>
    </row>
    <row r="188" spans="2:15" ht="28.5" customHeight="1" x14ac:dyDescent="0.25">
      <c r="B188" s="1068" t="str">
        <f>"per 31/12/"&amp;$M$35+6</f>
        <v>per 31/12/2020</v>
      </c>
      <c r="C188" s="1069"/>
      <c r="D188" s="1069"/>
      <c r="E188" s="1070"/>
      <c r="F188" s="162"/>
      <c r="G188" s="935"/>
      <c r="H188" s="935"/>
      <c r="I188" s="684">
        <f t="shared" ref="I188:M188" si="66">+I187+I92</f>
        <v>0</v>
      </c>
      <c r="J188" s="684">
        <f t="shared" si="66"/>
        <v>0</v>
      </c>
      <c r="K188" s="684">
        <f t="shared" si="66"/>
        <v>0</v>
      </c>
      <c r="L188" s="684">
        <f t="shared" si="66"/>
        <v>0</v>
      </c>
      <c r="M188" s="684">
        <f t="shared" si="66"/>
        <v>0</v>
      </c>
      <c r="O188" s="679">
        <f t="shared" si="60"/>
        <v>0</v>
      </c>
    </row>
    <row r="189" spans="2:15" ht="28.5" customHeight="1" x14ac:dyDescent="0.25">
      <c r="B189" s="1077" t="s">
        <v>287</v>
      </c>
      <c r="C189" s="1078"/>
      <c r="D189" s="1078"/>
      <c r="E189" s="1079"/>
      <c r="F189" s="162"/>
      <c r="G189" s="930"/>
      <c r="H189" s="930"/>
      <c r="I189" s="686"/>
      <c r="J189" s="686"/>
      <c r="K189" s="686"/>
      <c r="L189" s="686"/>
      <c r="M189" s="686"/>
      <c r="O189" s="686"/>
    </row>
    <row r="190" spans="2:15" ht="28.5" customHeight="1" x14ac:dyDescent="0.25">
      <c r="B190" s="1068" t="str">
        <f>"per 31/12/"&amp;$M$35</f>
        <v>per 31/12/2014</v>
      </c>
      <c r="C190" s="1069"/>
      <c r="D190" s="1069"/>
      <c r="E190" s="1070"/>
      <c r="F190" s="162"/>
      <c r="G190" s="935"/>
      <c r="H190" s="935"/>
      <c r="I190" s="684">
        <f>+$I$26+I94</f>
        <v>0</v>
      </c>
      <c r="J190" s="684">
        <f>+$J$26+J94</f>
        <v>0</v>
      </c>
      <c r="K190" s="684">
        <f>+$K$26+K94</f>
        <v>0</v>
      </c>
      <c r="L190" s="684">
        <f>+$L$26+L94</f>
        <v>0</v>
      </c>
      <c r="M190" s="684">
        <f>+$M$26+M94</f>
        <v>0</v>
      </c>
      <c r="O190" s="679">
        <f t="shared" ref="O190:O196" si="67">SUM(I190:M190)</f>
        <v>0</v>
      </c>
    </row>
    <row r="191" spans="2:15" ht="28.5" customHeight="1" x14ac:dyDescent="0.25">
      <c r="B191" s="1068" t="str">
        <f>"per 31/12/"&amp;$M$35+1</f>
        <v>per 31/12/2015</v>
      </c>
      <c r="C191" s="1069"/>
      <c r="D191" s="1069"/>
      <c r="E191" s="1070"/>
      <c r="F191" s="162"/>
      <c r="G191" s="935"/>
      <c r="H191" s="935"/>
      <c r="I191" s="684">
        <f t="shared" ref="I191:M191" si="68">+I190+I95</f>
        <v>0</v>
      </c>
      <c r="J191" s="684">
        <f t="shared" si="68"/>
        <v>0</v>
      </c>
      <c r="K191" s="684">
        <f t="shared" si="68"/>
        <v>0</v>
      </c>
      <c r="L191" s="684">
        <f t="shared" si="68"/>
        <v>0</v>
      </c>
      <c r="M191" s="684">
        <f t="shared" si="68"/>
        <v>0</v>
      </c>
      <c r="O191" s="679">
        <f t="shared" si="67"/>
        <v>0</v>
      </c>
    </row>
    <row r="192" spans="2:15" ht="28.5" customHeight="1" x14ac:dyDescent="0.25">
      <c r="B192" s="1068" t="str">
        <f>"per 31/12/"&amp;$M$35+2</f>
        <v>per 31/12/2016</v>
      </c>
      <c r="C192" s="1069"/>
      <c r="D192" s="1069"/>
      <c r="E192" s="1070"/>
      <c r="F192" s="162"/>
      <c r="G192" s="935"/>
      <c r="H192" s="935"/>
      <c r="I192" s="684">
        <f t="shared" ref="I192:M192" si="69">+I191+I96</f>
        <v>0</v>
      </c>
      <c r="J192" s="684">
        <f t="shared" si="69"/>
        <v>0</v>
      </c>
      <c r="K192" s="684">
        <f t="shared" si="69"/>
        <v>0</v>
      </c>
      <c r="L192" s="684">
        <f t="shared" si="69"/>
        <v>0</v>
      </c>
      <c r="M192" s="684">
        <f t="shared" si="69"/>
        <v>0</v>
      </c>
      <c r="O192" s="679">
        <f t="shared" si="67"/>
        <v>0</v>
      </c>
    </row>
    <row r="193" spans="2:15" ht="28.5" customHeight="1" x14ac:dyDescent="0.25">
      <c r="B193" s="1068" t="str">
        <f>"per 31/12/"&amp;$M$35+3</f>
        <v>per 31/12/2017</v>
      </c>
      <c r="C193" s="1069"/>
      <c r="D193" s="1069"/>
      <c r="E193" s="1070"/>
      <c r="F193" s="162"/>
      <c r="G193" s="935"/>
      <c r="H193" s="935"/>
      <c r="I193" s="684">
        <f t="shared" ref="I193:M193" si="70">+I192+I97</f>
        <v>0</v>
      </c>
      <c r="J193" s="684">
        <f t="shared" si="70"/>
        <v>0</v>
      </c>
      <c r="K193" s="684">
        <f t="shared" si="70"/>
        <v>0</v>
      </c>
      <c r="L193" s="684">
        <f t="shared" si="70"/>
        <v>0</v>
      </c>
      <c r="M193" s="684">
        <f t="shared" si="70"/>
        <v>0</v>
      </c>
      <c r="O193" s="679">
        <f t="shared" si="67"/>
        <v>0</v>
      </c>
    </row>
    <row r="194" spans="2:15" ht="28.5" customHeight="1" x14ac:dyDescent="0.25">
      <c r="B194" s="1068" t="str">
        <f>"per 31/12/"&amp;$M$35+4</f>
        <v>per 31/12/2018</v>
      </c>
      <c r="C194" s="1069"/>
      <c r="D194" s="1069"/>
      <c r="E194" s="1070"/>
      <c r="F194" s="162"/>
      <c r="G194" s="935"/>
      <c r="H194" s="935"/>
      <c r="I194" s="684">
        <f t="shared" ref="I194:M194" si="71">+I193+I98</f>
        <v>0</v>
      </c>
      <c r="J194" s="684">
        <f t="shared" si="71"/>
        <v>0</v>
      </c>
      <c r="K194" s="684">
        <f t="shared" si="71"/>
        <v>0</v>
      </c>
      <c r="L194" s="684">
        <f t="shared" si="71"/>
        <v>0</v>
      </c>
      <c r="M194" s="684">
        <f t="shared" si="71"/>
        <v>0</v>
      </c>
      <c r="O194" s="679">
        <f t="shared" si="67"/>
        <v>0</v>
      </c>
    </row>
    <row r="195" spans="2:15" ht="28.5" customHeight="1" x14ac:dyDescent="0.25">
      <c r="B195" s="1068" t="str">
        <f>"per 31/12/"&amp;$M$35+5</f>
        <v>per 31/12/2019</v>
      </c>
      <c r="C195" s="1069"/>
      <c r="D195" s="1069"/>
      <c r="E195" s="1070"/>
      <c r="F195" s="162"/>
      <c r="G195" s="935"/>
      <c r="H195" s="935"/>
      <c r="I195" s="684">
        <f t="shared" ref="I195:M195" si="72">+I194+I99</f>
        <v>0</v>
      </c>
      <c r="J195" s="684">
        <f t="shared" si="72"/>
        <v>0</v>
      </c>
      <c r="K195" s="684">
        <f t="shared" si="72"/>
        <v>0</v>
      </c>
      <c r="L195" s="684">
        <f t="shared" si="72"/>
        <v>0</v>
      </c>
      <c r="M195" s="684">
        <f t="shared" si="72"/>
        <v>0</v>
      </c>
      <c r="O195" s="679">
        <f t="shared" si="67"/>
        <v>0</v>
      </c>
    </row>
    <row r="196" spans="2:15" ht="28.5" customHeight="1" x14ac:dyDescent="0.25">
      <c r="B196" s="1068" t="str">
        <f>"per 31/12/"&amp;$M$35+6</f>
        <v>per 31/12/2020</v>
      </c>
      <c r="C196" s="1069"/>
      <c r="D196" s="1069"/>
      <c r="E196" s="1070"/>
      <c r="F196" s="162"/>
      <c r="G196" s="935"/>
      <c r="H196" s="935"/>
      <c r="I196" s="684">
        <f t="shared" ref="I196:M196" si="73">+I195+I100</f>
        <v>0</v>
      </c>
      <c r="J196" s="684">
        <f t="shared" si="73"/>
        <v>0</v>
      </c>
      <c r="K196" s="684">
        <f t="shared" si="73"/>
        <v>0</v>
      </c>
      <c r="L196" s="684">
        <f t="shared" si="73"/>
        <v>0</v>
      </c>
      <c r="M196" s="684">
        <f t="shared" si="73"/>
        <v>0</v>
      </c>
      <c r="O196" s="679">
        <f t="shared" si="67"/>
        <v>0</v>
      </c>
    </row>
    <row r="197" spans="2:15" ht="33" customHeight="1" x14ac:dyDescent="0.25">
      <c r="B197" s="1077" t="s">
        <v>134</v>
      </c>
      <c r="C197" s="1078"/>
      <c r="D197" s="1078"/>
      <c r="E197" s="1079"/>
      <c r="F197" s="162"/>
      <c r="G197" s="930"/>
      <c r="H197" s="930"/>
      <c r="I197" s="686"/>
      <c r="J197" s="686"/>
      <c r="K197" s="686"/>
      <c r="L197" s="686"/>
      <c r="M197" s="686"/>
      <c r="O197" s="686"/>
    </row>
    <row r="198" spans="2:15" ht="28.5" customHeight="1" x14ac:dyDescent="0.25">
      <c r="B198" s="1068" t="str">
        <f>"per 31/12/"&amp;$M$35</f>
        <v>per 31/12/2014</v>
      </c>
      <c r="C198" s="1069"/>
      <c r="D198" s="1069"/>
      <c r="E198" s="1070"/>
      <c r="F198" s="162"/>
      <c r="G198" s="935"/>
      <c r="H198" s="935"/>
      <c r="I198" s="684">
        <f>+$I$27+I102</f>
        <v>0</v>
      </c>
      <c r="J198" s="684">
        <f>+$J$27+J102</f>
        <v>0</v>
      </c>
      <c r="K198" s="684">
        <f>+$K$27+K102</f>
        <v>0</v>
      </c>
      <c r="L198" s="684">
        <f>+$L$27+L102</f>
        <v>0</v>
      </c>
      <c r="M198" s="684">
        <f>+$M$27+M102</f>
        <v>0</v>
      </c>
      <c r="O198" s="679">
        <f t="shared" ref="O198:O204" si="74">SUM(I198:M198)</f>
        <v>0</v>
      </c>
    </row>
    <row r="199" spans="2:15" ht="28.5" customHeight="1" x14ac:dyDescent="0.25">
      <c r="B199" s="1068" t="str">
        <f>"per 31/12/"&amp;$M$35+1</f>
        <v>per 31/12/2015</v>
      </c>
      <c r="C199" s="1069"/>
      <c r="D199" s="1069"/>
      <c r="E199" s="1070"/>
      <c r="F199" s="162"/>
      <c r="G199" s="935"/>
      <c r="H199" s="935"/>
      <c r="I199" s="684">
        <f t="shared" ref="I199:M199" si="75">+I198+I103</f>
        <v>0</v>
      </c>
      <c r="J199" s="684">
        <f t="shared" si="75"/>
        <v>0</v>
      </c>
      <c r="K199" s="684">
        <f t="shared" si="75"/>
        <v>0</v>
      </c>
      <c r="L199" s="684">
        <f t="shared" si="75"/>
        <v>0</v>
      </c>
      <c r="M199" s="684">
        <f t="shared" si="75"/>
        <v>0</v>
      </c>
      <c r="O199" s="679">
        <f t="shared" si="74"/>
        <v>0</v>
      </c>
    </row>
    <row r="200" spans="2:15" ht="28.5" customHeight="1" x14ac:dyDescent="0.25">
      <c r="B200" s="1068" t="str">
        <f>"per 31/12/"&amp;$M$35+2</f>
        <v>per 31/12/2016</v>
      </c>
      <c r="C200" s="1069"/>
      <c r="D200" s="1069"/>
      <c r="E200" s="1070"/>
      <c r="F200" s="162"/>
      <c r="G200" s="935"/>
      <c r="H200" s="935"/>
      <c r="I200" s="684">
        <f t="shared" ref="I200:M200" si="76">+I199+I104</f>
        <v>0</v>
      </c>
      <c r="J200" s="684">
        <f t="shared" si="76"/>
        <v>0</v>
      </c>
      <c r="K200" s="684">
        <f t="shared" si="76"/>
        <v>0</v>
      </c>
      <c r="L200" s="684">
        <f t="shared" si="76"/>
        <v>0</v>
      </c>
      <c r="M200" s="684">
        <f t="shared" si="76"/>
        <v>0</v>
      </c>
      <c r="O200" s="679">
        <f t="shared" si="74"/>
        <v>0</v>
      </c>
    </row>
    <row r="201" spans="2:15" ht="28.5" customHeight="1" x14ac:dyDescent="0.25">
      <c r="B201" s="1068" t="str">
        <f>"per 31/12/"&amp;$M$35+3</f>
        <v>per 31/12/2017</v>
      </c>
      <c r="C201" s="1069"/>
      <c r="D201" s="1069"/>
      <c r="E201" s="1070"/>
      <c r="F201" s="162"/>
      <c r="G201" s="935"/>
      <c r="H201" s="935"/>
      <c r="I201" s="684">
        <f t="shared" ref="I201:M201" si="77">+I200+I105</f>
        <v>0</v>
      </c>
      <c r="J201" s="684">
        <f t="shared" si="77"/>
        <v>0</v>
      </c>
      <c r="K201" s="684">
        <f t="shared" si="77"/>
        <v>0</v>
      </c>
      <c r="L201" s="684">
        <f t="shared" si="77"/>
        <v>0</v>
      </c>
      <c r="M201" s="684">
        <f t="shared" si="77"/>
        <v>0</v>
      </c>
      <c r="O201" s="679">
        <f t="shared" si="74"/>
        <v>0</v>
      </c>
    </row>
    <row r="202" spans="2:15" ht="28.5" customHeight="1" x14ac:dyDescent="0.25">
      <c r="B202" s="1068" t="str">
        <f>"per 31/12/"&amp;$M$35+4</f>
        <v>per 31/12/2018</v>
      </c>
      <c r="C202" s="1069"/>
      <c r="D202" s="1069"/>
      <c r="E202" s="1070"/>
      <c r="F202" s="162"/>
      <c r="G202" s="935"/>
      <c r="H202" s="935"/>
      <c r="I202" s="684">
        <f t="shared" ref="I202:M202" si="78">+I201+I106</f>
        <v>0</v>
      </c>
      <c r="J202" s="684">
        <f t="shared" si="78"/>
        <v>0</v>
      </c>
      <c r="K202" s="684">
        <f t="shared" si="78"/>
        <v>0</v>
      </c>
      <c r="L202" s="684">
        <f t="shared" si="78"/>
        <v>0</v>
      </c>
      <c r="M202" s="684">
        <f t="shared" si="78"/>
        <v>0</v>
      </c>
      <c r="O202" s="679">
        <f t="shared" si="74"/>
        <v>0</v>
      </c>
    </row>
    <row r="203" spans="2:15" ht="28.5" customHeight="1" x14ac:dyDescent="0.25">
      <c r="B203" s="1068" t="str">
        <f>"per 31/12/"&amp;$M$35+5</f>
        <v>per 31/12/2019</v>
      </c>
      <c r="C203" s="1069"/>
      <c r="D203" s="1069"/>
      <c r="E203" s="1070"/>
      <c r="F203" s="162"/>
      <c r="G203" s="935"/>
      <c r="H203" s="935"/>
      <c r="I203" s="684">
        <f t="shared" ref="I203:M203" si="79">+I202+I107</f>
        <v>0</v>
      </c>
      <c r="J203" s="684">
        <f t="shared" si="79"/>
        <v>0</v>
      </c>
      <c r="K203" s="684">
        <f t="shared" si="79"/>
        <v>0</v>
      </c>
      <c r="L203" s="684">
        <f t="shared" si="79"/>
        <v>0</v>
      </c>
      <c r="M203" s="684">
        <f t="shared" si="79"/>
        <v>0</v>
      </c>
      <c r="O203" s="679">
        <f t="shared" si="74"/>
        <v>0</v>
      </c>
    </row>
    <row r="204" spans="2:15" ht="28.5" customHeight="1" x14ac:dyDescent="0.25">
      <c r="B204" s="1068" t="str">
        <f>"per 31/12/"&amp;$M$35+6</f>
        <v>per 31/12/2020</v>
      </c>
      <c r="C204" s="1069"/>
      <c r="D204" s="1069"/>
      <c r="E204" s="1070"/>
      <c r="F204" s="162"/>
      <c r="G204" s="935"/>
      <c r="H204" s="935"/>
      <c r="I204" s="684">
        <f t="shared" ref="I204:M204" si="80">+I203+I108</f>
        <v>0</v>
      </c>
      <c r="J204" s="684">
        <f t="shared" si="80"/>
        <v>0</v>
      </c>
      <c r="K204" s="684">
        <f t="shared" si="80"/>
        <v>0</v>
      </c>
      <c r="L204" s="684">
        <f t="shared" si="80"/>
        <v>0</v>
      </c>
      <c r="M204" s="684">
        <f t="shared" si="80"/>
        <v>0</v>
      </c>
      <c r="O204" s="679">
        <f t="shared" si="74"/>
        <v>0</v>
      </c>
    </row>
    <row r="205" spans="2:15" ht="33" customHeight="1" x14ac:dyDescent="0.25">
      <c r="B205" s="1077" t="s">
        <v>276</v>
      </c>
      <c r="C205" s="1078"/>
      <c r="D205" s="1078"/>
      <c r="E205" s="1079"/>
      <c r="F205" s="162"/>
      <c r="G205" s="930"/>
      <c r="H205" s="930"/>
      <c r="I205" s="686"/>
      <c r="J205" s="686"/>
      <c r="K205" s="686"/>
      <c r="L205" s="686"/>
      <c r="M205" s="686"/>
      <c r="O205" s="686"/>
    </row>
    <row r="206" spans="2:15" ht="28.5" customHeight="1" x14ac:dyDescent="0.25">
      <c r="B206" s="1068" t="str">
        <f>"per 31/12/"&amp;$M$35</f>
        <v>per 31/12/2014</v>
      </c>
      <c r="C206" s="1069"/>
      <c r="D206" s="1069"/>
      <c r="E206" s="1070"/>
      <c r="F206" s="162"/>
      <c r="G206" s="935"/>
      <c r="H206" s="935"/>
      <c r="I206" s="684">
        <f>+$I$28+I110</f>
        <v>0</v>
      </c>
      <c r="J206" s="684">
        <f>+$J$28+J110</f>
        <v>0</v>
      </c>
      <c r="K206" s="684">
        <f>+$K$28+K110</f>
        <v>0</v>
      </c>
      <c r="L206" s="684">
        <f>+$L$28+L110</f>
        <v>0</v>
      </c>
      <c r="M206" s="684">
        <f>+$M$28+M110</f>
        <v>0</v>
      </c>
      <c r="O206" s="679">
        <f t="shared" ref="O206:O212" si="81">SUM(I206:M206)</f>
        <v>0</v>
      </c>
    </row>
    <row r="207" spans="2:15" ht="28.5" customHeight="1" x14ac:dyDescent="0.25">
      <c r="B207" s="1068" t="str">
        <f>"per 31/12/"&amp;$M$35+1</f>
        <v>per 31/12/2015</v>
      </c>
      <c r="C207" s="1069"/>
      <c r="D207" s="1069"/>
      <c r="E207" s="1070"/>
      <c r="F207" s="162"/>
      <c r="G207" s="935"/>
      <c r="H207" s="935"/>
      <c r="I207" s="684">
        <f t="shared" ref="I207:M207" si="82">+I206+I111</f>
        <v>0</v>
      </c>
      <c r="J207" s="684">
        <f t="shared" si="82"/>
        <v>0</v>
      </c>
      <c r="K207" s="684">
        <f t="shared" si="82"/>
        <v>0</v>
      </c>
      <c r="L207" s="684">
        <f t="shared" si="82"/>
        <v>0</v>
      </c>
      <c r="M207" s="684">
        <f t="shared" si="82"/>
        <v>0</v>
      </c>
      <c r="O207" s="679">
        <f t="shared" si="81"/>
        <v>0</v>
      </c>
    </row>
    <row r="208" spans="2:15" ht="28.5" customHeight="1" x14ac:dyDescent="0.25">
      <c r="B208" s="1068" t="str">
        <f>"per 31/12/"&amp;$M$35+2</f>
        <v>per 31/12/2016</v>
      </c>
      <c r="C208" s="1069"/>
      <c r="D208" s="1069"/>
      <c r="E208" s="1070"/>
      <c r="F208" s="162"/>
      <c r="G208" s="935"/>
      <c r="H208" s="935"/>
      <c r="I208" s="684">
        <f t="shared" ref="I208:M208" si="83">+I207+I112</f>
        <v>0</v>
      </c>
      <c r="J208" s="684">
        <f t="shared" si="83"/>
        <v>0</v>
      </c>
      <c r="K208" s="684">
        <f t="shared" si="83"/>
        <v>0</v>
      </c>
      <c r="L208" s="684">
        <f t="shared" si="83"/>
        <v>0</v>
      </c>
      <c r="M208" s="684">
        <f t="shared" si="83"/>
        <v>0</v>
      </c>
      <c r="O208" s="679">
        <f t="shared" si="81"/>
        <v>0</v>
      </c>
    </row>
    <row r="209" spans="2:15" ht="28.5" customHeight="1" x14ac:dyDescent="0.25">
      <c r="B209" s="1068" t="str">
        <f>"per 31/12/"&amp;$M$35+3</f>
        <v>per 31/12/2017</v>
      </c>
      <c r="C209" s="1069"/>
      <c r="D209" s="1069"/>
      <c r="E209" s="1070"/>
      <c r="F209" s="162"/>
      <c r="G209" s="935"/>
      <c r="H209" s="935"/>
      <c r="I209" s="684">
        <f t="shared" ref="I209:M209" si="84">+I208+I113</f>
        <v>0</v>
      </c>
      <c r="J209" s="684">
        <f t="shared" si="84"/>
        <v>0</v>
      </c>
      <c r="K209" s="684">
        <f t="shared" si="84"/>
        <v>0</v>
      </c>
      <c r="L209" s="684">
        <f t="shared" si="84"/>
        <v>0</v>
      </c>
      <c r="M209" s="684">
        <f t="shared" si="84"/>
        <v>0</v>
      </c>
      <c r="O209" s="679">
        <f t="shared" si="81"/>
        <v>0</v>
      </c>
    </row>
    <row r="210" spans="2:15" ht="28.5" customHeight="1" x14ac:dyDescent="0.25">
      <c r="B210" s="1068" t="str">
        <f>"per 31/12/"&amp;$M$35+4</f>
        <v>per 31/12/2018</v>
      </c>
      <c r="C210" s="1069"/>
      <c r="D210" s="1069"/>
      <c r="E210" s="1070"/>
      <c r="F210" s="162"/>
      <c r="G210" s="935"/>
      <c r="H210" s="935"/>
      <c r="I210" s="684">
        <f t="shared" ref="I210:M210" si="85">+I209+I114</f>
        <v>0</v>
      </c>
      <c r="J210" s="684">
        <f t="shared" si="85"/>
        <v>0</v>
      </c>
      <c r="K210" s="684">
        <f t="shared" si="85"/>
        <v>0</v>
      </c>
      <c r="L210" s="684">
        <f t="shared" si="85"/>
        <v>0</v>
      </c>
      <c r="M210" s="684">
        <f t="shared" si="85"/>
        <v>0</v>
      </c>
      <c r="O210" s="679">
        <f t="shared" si="81"/>
        <v>0</v>
      </c>
    </row>
    <row r="211" spans="2:15" ht="28.5" customHeight="1" x14ac:dyDescent="0.25">
      <c r="B211" s="1068" t="str">
        <f>"per 31/12/"&amp;$M$35+5</f>
        <v>per 31/12/2019</v>
      </c>
      <c r="C211" s="1069"/>
      <c r="D211" s="1069"/>
      <c r="E211" s="1070"/>
      <c r="F211" s="162"/>
      <c r="G211" s="935"/>
      <c r="H211" s="935"/>
      <c r="I211" s="684">
        <f t="shared" ref="I211:M211" si="86">+I210+I115</f>
        <v>0</v>
      </c>
      <c r="J211" s="684">
        <f t="shared" si="86"/>
        <v>0</v>
      </c>
      <c r="K211" s="684">
        <f t="shared" si="86"/>
        <v>0</v>
      </c>
      <c r="L211" s="684">
        <f t="shared" si="86"/>
        <v>0</v>
      </c>
      <c r="M211" s="684">
        <f t="shared" si="86"/>
        <v>0</v>
      </c>
      <c r="O211" s="679">
        <f t="shared" si="81"/>
        <v>0</v>
      </c>
    </row>
    <row r="212" spans="2:15" ht="28.5" customHeight="1" x14ac:dyDescent="0.25">
      <c r="B212" s="1068" t="str">
        <f>"per 31/12/"&amp;$M$35+6</f>
        <v>per 31/12/2020</v>
      </c>
      <c r="C212" s="1069"/>
      <c r="D212" s="1069"/>
      <c r="E212" s="1070"/>
      <c r="F212" s="162"/>
      <c r="G212" s="935"/>
      <c r="H212" s="935"/>
      <c r="I212" s="684">
        <f t="shared" ref="I212:M212" si="87">+I211+I116</f>
        <v>0</v>
      </c>
      <c r="J212" s="684">
        <f t="shared" si="87"/>
        <v>0</v>
      </c>
      <c r="K212" s="684">
        <f t="shared" si="87"/>
        <v>0</v>
      </c>
      <c r="L212" s="684">
        <f t="shared" si="87"/>
        <v>0</v>
      </c>
      <c r="M212" s="684">
        <f t="shared" si="87"/>
        <v>0</v>
      </c>
      <c r="O212" s="679">
        <f t="shared" si="81"/>
        <v>0</v>
      </c>
    </row>
    <row r="213" spans="2:15" ht="13" x14ac:dyDescent="0.3">
      <c r="G213" s="932"/>
      <c r="H213" s="932"/>
      <c r="I213" s="680"/>
      <c r="J213" s="680"/>
      <c r="K213" s="680"/>
      <c r="L213" s="680"/>
      <c r="M213" s="680"/>
      <c r="O213" s="845"/>
    </row>
    <row r="214" spans="2:15" s="381" customFormat="1" ht="13" x14ac:dyDescent="0.3">
      <c r="B214" s="1168"/>
      <c r="C214" s="1168"/>
      <c r="D214" s="1168"/>
      <c r="E214" s="1168"/>
      <c r="G214" s="924"/>
      <c r="H214" s="924"/>
      <c r="I214" s="675">
        <v>2010</v>
      </c>
      <c r="J214" s="675">
        <f t="shared" ref="J214:M214" si="88">+I214+1</f>
        <v>2011</v>
      </c>
      <c r="K214" s="675">
        <f t="shared" si="88"/>
        <v>2012</v>
      </c>
      <c r="L214" s="675">
        <f t="shared" si="88"/>
        <v>2013</v>
      </c>
      <c r="M214" s="675">
        <f t="shared" si="88"/>
        <v>2014</v>
      </c>
      <c r="N214" s="48"/>
      <c r="O214" s="675" t="s">
        <v>31</v>
      </c>
    </row>
    <row r="215" spans="2:15" s="682" customFormat="1" ht="26.25" customHeight="1" x14ac:dyDescent="0.25">
      <c r="B215" s="1179" t="s">
        <v>384</v>
      </c>
      <c r="C215" s="1180"/>
      <c r="D215" s="1180"/>
      <c r="E215" s="1181"/>
      <c r="F215" s="699"/>
      <c r="G215" s="933"/>
      <c r="H215" s="933"/>
      <c r="I215" s="696"/>
      <c r="J215" s="696"/>
      <c r="K215" s="696"/>
      <c r="L215" s="696"/>
      <c r="M215" s="696"/>
      <c r="O215" s="949"/>
    </row>
    <row r="216" spans="2:15" ht="28.5" customHeight="1" x14ac:dyDescent="0.25">
      <c r="B216" s="1063" t="str">
        <f>"per 31/12/"&amp;$M$35</f>
        <v>per 31/12/2014</v>
      </c>
      <c r="C216" s="1064"/>
      <c r="D216" s="1064"/>
      <c r="E216" s="1065"/>
      <c r="F216" s="697"/>
      <c r="G216" s="934"/>
      <c r="H216" s="934"/>
      <c r="I216" s="698">
        <f t="shared" ref="I216:L222" si="89">SUM(I134,I142,I150,I158,I166,I174,I182,I190,I198,I206)</f>
        <v>0</v>
      </c>
      <c r="J216" s="698">
        <f t="shared" si="89"/>
        <v>0</v>
      </c>
      <c r="K216" s="698">
        <f t="shared" si="89"/>
        <v>0</v>
      </c>
      <c r="L216" s="698">
        <f t="shared" si="89"/>
        <v>0</v>
      </c>
      <c r="M216" s="698">
        <f t="shared" ref="M216:M222" si="90">SUM(M134,M142,M150,M158,M166,M174,M182,M190,M198,M206)</f>
        <v>0</v>
      </c>
      <c r="O216" s="844">
        <f t="shared" ref="O216:O221" si="91">SUM(I216:M216)</f>
        <v>0</v>
      </c>
    </row>
    <row r="217" spans="2:15" ht="28.5" customHeight="1" x14ac:dyDescent="0.25">
      <c r="B217" s="1063" t="str">
        <f>"per 31/12/"&amp;$M$35+1</f>
        <v>per 31/12/2015</v>
      </c>
      <c r="C217" s="1064"/>
      <c r="D217" s="1064"/>
      <c r="E217" s="1065"/>
      <c r="F217" s="697"/>
      <c r="G217" s="934"/>
      <c r="H217" s="934"/>
      <c r="I217" s="698">
        <f t="shared" si="89"/>
        <v>0</v>
      </c>
      <c r="J217" s="698">
        <f t="shared" si="89"/>
        <v>0</v>
      </c>
      <c r="K217" s="698">
        <f t="shared" si="89"/>
        <v>0</v>
      </c>
      <c r="L217" s="698">
        <f t="shared" si="89"/>
        <v>0</v>
      </c>
      <c r="M217" s="698">
        <f t="shared" si="90"/>
        <v>0</v>
      </c>
      <c r="O217" s="844">
        <f t="shared" si="91"/>
        <v>0</v>
      </c>
    </row>
    <row r="218" spans="2:15" ht="28.5" customHeight="1" x14ac:dyDescent="0.25">
      <c r="B218" s="1063" t="str">
        <f>"per 31/12/"&amp;$M$35+2</f>
        <v>per 31/12/2016</v>
      </c>
      <c r="C218" s="1064"/>
      <c r="D218" s="1064"/>
      <c r="E218" s="1065"/>
      <c r="F218" s="697"/>
      <c r="G218" s="934"/>
      <c r="H218" s="934"/>
      <c r="I218" s="698">
        <f t="shared" si="89"/>
        <v>0</v>
      </c>
      <c r="J218" s="698">
        <f t="shared" si="89"/>
        <v>0</v>
      </c>
      <c r="K218" s="698">
        <f t="shared" si="89"/>
        <v>0</v>
      </c>
      <c r="L218" s="698">
        <f t="shared" si="89"/>
        <v>0</v>
      </c>
      <c r="M218" s="698">
        <f t="shared" si="90"/>
        <v>0</v>
      </c>
      <c r="O218" s="844">
        <f t="shared" si="91"/>
        <v>0</v>
      </c>
    </row>
    <row r="219" spans="2:15" ht="28.5" customHeight="1" x14ac:dyDescent="0.25">
      <c r="B219" s="1063" t="str">
        <f>"per 31/12/"&amp;$M$35+3</f>
        <v>per 31/12/2017</v>
      </c>
      <c r="C219" s="1064"/>
      <c r="D219" s="1064"/>
      <c r="E219" s="1065"/>
      <c r="F219" s="697"/>
      <c r="G219" s="934"/>
      <c r="H219" s="934"/>
      <c r="I219" s="698">
        <f t="shared" si="89"/>
        <v>0</v>
      </c>
      <c r="J219" s="698">
        <f t="shared" si="89"/>
        <v>0</v>
      </c>
      <c r="K219" s="698">
        <f t="shared" si="89"/>
        <v>0</v>
      </c>
      <c r="L219" s="698">
        <f t="shared" si="89"/>
        <v>0</v>
      </c>
      <c r="M219" s="698">
        <f t="shared" si="90"/>
        <v>0</v>
      </c>
      <c r="O219" s="844">
        <f t="shared" si="91"/>
        <v>0</v>
      </c>
    </row>
    <row r="220" spans="2:15" ht="28.5" customHeight="1" x14ac:dyDescent="0.25">
      <c r="B220" s="1063" t="str">
        <f>"per 31/12/"&amp;$M$35+4</f>
        <v>per 31/12/2018</v>
      </c>
      <c r="C220" s="1064"/>
      <c r="D220" s="1064"/>
      <c r="E220" s="1065"/>
      <c r="F220" s="697"/>
      <c r="G220" s="934"/>
      <c r="H220" s="934"/>
      <c r="I220" s="698">
        <f t="shared" si="89"/>
        <v>0</v>
      </c>
      <c r="J220" s="698">
        <f t="shared" si="89"/>
        <v>0</v>
      </c>
      <c r="K220" s="698">
        <f t="shared" si="89"/>
        <v>0</v>
      </c>
      <c r="L220" s="698">
        <f t="shared" si="89"/>
        <v>0</v>
      </c>
      <c r="M220" s="698">
        <f t="shared" si="90"/>
        <v>0</v>
      </c>
      <c r="O220" s="844">
        <f t="shared" si="91"/>
        <v>0</v>
      </c>
    </row>
    <row r="221" spans="2:15" ht="28.5" customHeight="1" x14ac:dyDescent="0.25">
      <c r="B221" s="1063" t="str">
        <f>"per 31/12/"&amp;$M$35+5</f>
        <v>per 31/12/2019</v>
      </c>
      <c r="C221" s="1064"/>
      <c r="D221" s="1064"/>
      <c r="E221" s="1065"/>
      <c r="F221" s="697"/>
      <c r="G221" s="934"/>
      <c r="H221" s="934"/>
      <c r="I221" s="698">
        <f t="shared" si="89"/>
        <v>0</v>
      </c>
      <c r="J221" s="698">
        <f t="shared" si="89"/>
        <v>0</v>
      </c>
      <c r="K221" s="698">
        <f t="shared" si="89"/>
        <v>0</v>
      </c>
      <c r="L221" s="698">
        <f t="shared" si="89"/>
        <v>0</v>
      </c>
      <c r="M221" s="698">
        <f t="shared" si="90"/>
        <v>0</v>
      </c>
      <c r="O221" s="844">
        <f t="shared" si="91"/>
        <v>0</v>
      </c>
    </row>
    <row r="222" spans="2:15" ht="28.5" customHeight="1" x14ac:dyDescent="0.25">
      <c r="B222" s="1063" t="str">
        <f>"per 31/12/"&amp;$M$35+6</f>
        <v>per 31/12/2020</v>
      </c>
      <c r="C222" s="1064"/>
      <c r="D222" s="1064"/>
      <c r="E222" s="1065"/>
      <c r="F222" s="697"/>
      <c r="G222" s="934"/>
      <c r="H222" s="934"/>
      <c r="I222" s="698">
        <f t="shared" si="89"/>
        <v>0</v>
      </c>
      <c r="J222" s="698">
        <f t="shared" si="89"/>
        <v>0</v>
      </c>
      <c r="K222" s="698">
        <f t="shared" si="89"/>
        <v>0</v>
      </c>
      <c r="L222" s="698">
        <f t="shared" si="89"/>
        <v>0</v>
      </c>
      <c r="M222" s="698">
        <f t="shared" si="90"/>
        <v>0</v>
      </c>
      <c r="O222" s="844">
        <f>SUM(I222:M222)</f>
        <v>0</v>
      </c>
    </row>
    <row r="223" spans="2:15" ht="13" x14ac:dyDescent="0.3">
      <c r="B223" s="390"/>
      <c r="C223" s="390"/>
      <c r="D223" s="390"/>
      <c r="E223" s="390"/>
      <c r="F223" s="391"/>
      <c r="G223" s="392"/>
      <c r="H223" s="392"/>
      <c r="I223" s="392"/>
      <c r="J223" s="392"/>
      <c r="K223" s="392"/>
      <c r="L223" s="392"/>
      <c r="M223" s="392"/>
      <c r="O223" s="392"/>
    </row>
    <row r="224" spans="2:15" ht="13" x14ac:dyDescent="0.3">
      <c r="B224" s="390"/>
      <c r="C224" s="390"/>
      <c r="D224" s="390"/>
      <c r="E224" s="390"/>
      <c r="F224" s="391"/>
      <c r="G224" s="392"/>
      <c r="H224" s="392"/>
      <c r="I224" s="392"/>
      <c r="J224" s="392"/>
      <c r="K224" s="392"/>
      <c r="L224" s="392"/>
      <c r="M224" s="392"/>
      <c r="O224" s="392"/>
    </row>
    <row r="226" spans="2:15" ht="13" x14ac:dyDescent="0.3">
      <c r="B226" s="390"/>
      <c r="C226" s="390"/>
      <c r="D226" s="390"/>
      <c r="E226" s="390"/>
      <c r="F226" s="391"/>
      <c r="G226" s="435" t="s">
        <v>56</v>
      </c>
      <c r="H226" s="392"/>
      <c r="I226" s="392"/>
      <c r="J226" s="392"/>
      <c r="K226" s="392"/>
      <c r="L226" s="392"/>
      <c r="M226" s="392"/>
      <c r="O226" s="392"/>
    </row>
    <row r="227" spans="2:15" ht="13" x14ac:dyDescent="0.3">
      <c r="G227" s="435" t="s">
        <v>57</v>
      </c>
      <c r="H227" s="1182" t="s">
        <v>385</v>
      </c>
      <c r="I227" s="1183"/>
      <c r="J227" s="1184"/>
    </row>
    <row r="228" spans="2:15" ht="80.25" customHeight="1" x14ac:dyDescent="0.25">
      <c r="B228" s="1089" t="s">
        <v>130</v>
      </c>
      <c r="C228" s="1090"/>
      <c r="D228" s="1090"/>
      <c r="E228" s="1091"/>
      <c r="F228" s="162"/>
      <c r="G228" s="675" t="str">
        <f>"[Afbouw van de exploitatiesaldi voor de jaren 2010-2014 in het toegelaten inkomen voor boekjaar "&amp;L1&amp;"]"</f>
        <v>[Afbouw van de exploitatiesaldi voor de jaren 2010-2014 in het toegelaten inkomen voor boekjaar 2019]</v>
      </c>
      <c r="H228" s="952" t="s">
        <v>385</v>
      </c>
      <c r="I228" s="952" t="s">
        <v>385</v>
      </c>
      <c r="J228" s="953" t="s">
        <v>385</v>
      </c>
    </row>
    <row r="229" spans="2:15" ht="13" x14ac:dyDescent="0.25">
      <c r="B229" s="384"/>
      <c r="C229" s="384"/>
      <c r="D229" s="384"/>
      <c r="E229" s="384"/>
      <c r="F229" s="385"/>
      <c r="G229" s="386"/>
      <c r="H229" s="936"/>
      <c r="I229" s="936"/>
      <c r="J229" s="936"/>
    </row>
    <row r="230" spans="2:15" s="685" customFormat="1" ht="28.5" customHeight="1" x14ac:dyDescent="0.25">
      <c r="B230" s="1081" t="s">
        <v>131</v>
      </c>
      <c r="C230" s="1081"/>
      <c r="D230" s="1081"/>
      <c r="E230" s="1081"/>
      <c r="F230" s="688"/>
      <c r="G230" s="677">
        <v>0</v>
      </c>
      <c r="H230" s="935"/>
      <c r="I230" s="943"/>
      <c r="J230" s="935"/>
      <c r="O230" s="893"/>
    </row>
    <row r="231" spans="2:15" s="685" customFormat="1" ht="18.75" customHeight="1" x14ac:dyDescent="0.25">
      <c r="B231" s="1081" t="s">
        <v>132</v>
      </c>
      <c r="C231" s="1081"/>
      <c r="D231" s="1081"/>
      <c r="E231" s="1081"/>
      <c r="F231" s="688"/>
      <c r="G231" s="677">
        <v>0</v>
      </c>
      <c r="H231" s="935"/>
      <c r="I231" s="943"/>
      <c r="J231" s="935"/>
      <c r="O231" s="893"/>
    </row>
    <row r="232" spans="2:15" s="685" customFormat="1" ht="18.75" customHeight="1" x14ac:dyDescent="0.25">
      <c r="B232" s="1081" t="s">
        <v>138</v>
      </c>
      <c r="C232" s="1081"/>
      <c r="D232" s="1081"/>
      <c r="E232" s="1081"/>
      <c r="F232" s="688"/>
      <c r="G232" s="677">
        <v>0</v>
      </c>
      <c r="H232" s="935"/>
      <c r="I232" s="943"/>
      <c r="J232" s="935"/>
      <c r="O232" s="893"/>
    </row>
    <row r="233" spans="2:15" s="685" customFormat="1" ht="17.25" customHeight="1" x14ac:dyDescent="0.25">
      <c r="B233" s="1081" t="s">
        <v>133</v>
      </c>
      <c r="C233" s="1081"/>
      <c r="D233" s="1081"/>
      <c r="E233" s="1081"/>
      <c r="F233" s="688"/>
      <c r="G233" s="677">
        <v>0</v>
      </c>
      <c r="H233" s="935"/>
      <c r="I233" s="943"/>
      <c r="J233" s="935"/>
      <c r="O233" s="893"/>
    </row>
    <row r="234" spans="2:15" s="685" customFormat="1" ht="33" customHeight="1" x14ac:dyDescent="0.25">
      <c r="B234" s="1081" t="s">
        <v>277</v>
      </c>
      <c r="C234" s="1081"/>
      <c r="D234" s="1081"/>
      <c r="E234" s="1081"/>
      <c r="F234" s="688"/>
      <c r="G234" s="677">
        <v>0</v>
      </c>
      <c r="H234" s="935"/>
      <c r="I234" s="943"/>
      <c r="J234" s="935"/>
      <c r="O234" s="893"/>
    </row>
    <row r="235" spans="2:15" s="685" customFormat="1" ht="29.25" customHeight="1" x14ac:dyDescent="0.25">
      <c r="B235" s="1081" t="s">
        <v>239</v>
      </c>
      <c r="C235" s="1081"/>
      <c r="D235" s="1081"/>
      <c r="E235" s="1081"/>
      <c r="F235" s="688"/>
      <c r="G235" s="677">
        <v>0</v>
      </c>
      <c r="H235" s="935"/>
      <c r="I235" s="943"/>
      <c r="J235" s="935"/>
      <c r="O235" s="893"/>
    </row>
    <row r="236" spans="2:15" s="685" customFormat="1" ht="19.5" customHeight="1" x14ac:dyDescent="0.25">
      <c r="B236" s="1081" t="s">
        <v>237</v>
      </c>
      <c r="C236" s="1081"/>
      <c r="D236" s="1081"/>
      <c r="E236" s="1081"/>
      <c r="F236" s="688"/>
      <c r="G236" s="677">
        <v>0</v>
      </c>
      <c r="H236" s="935"/>
      <c r="I236" s="943"/>
      <c r="J236" s="935"/>
      <c r="O236" s="893"/>
    </row>
    <row r="237" spans="2:15" s="685" customFormat="1" ht="32.25" customHeight="1" x14ac:dyDescent="0.25">
      <c r="B237" s="1081" t="s">
        <v>287</v>
      </c>
      <c r="C237" s="1081"/>
      <c r="D237" s="1081"/>
      <c r="E237" s="1081"/>
      <c r="F237" s="688"/>
      <c r="G237" s="677">
        <v>0</v>
      </c>
      <c r="H237" s="935"/>
      <c r="I237" s="943"/>
      <c r="J237" s="935"/>
      <c r="O237" s="893"/>
    </row>
    <row r="238" spans="2:15" s="685" customFormat="1" ht="27" customHeight="1" x14ac:dyDescent="0.25">
      <c r="B238" s="1081" t="s">
        <v>134</v>
      </c>
      <c r="C238" s="1081"/>
      <c r="D238" s="1081"/>
      <c r="E238" s="1081"/>
      <c r="F238" s="688"/>
      <c r="G238" s="677">
        <v>0</v>
      </c>
      <c r="H238" s="935"/>
      <c r="I238" s="943"/>
      <c r="J238" s="935"/>
      <c r="O238" s="893"/>
    </row>
    <row r="239" spans="2:15" s="685" customFormat="1" ht="15.75" customHeight="1" x14ac:dyDescent="0.25">
      <c r="B239" s="1082" t="s">
        <v>276</v>
      </c>
      <c r="C239" s="1083"/>
      <c r="D239" s="1083"/>
      <c r="E239" s="1084"/>
      <c r="F239" s="688"/>
      <c r="G239" s="677">
        <v>0</v>
      </c>
      <c r="H239" s="935"/>
      <c r="I239" s="943"/>
      <c r="J239" s="935"/>
      <c r="O239" s="893"/>
    </row>
    <row r="240" spans="2:15" x14ac:dyDescent="0.25">
      <c r="H240" s="932"/>
      <c r="I240" s="944"/>
      <c r="J240" s="932"/>
    </row>
    <row r="241" spans="2:15" ht="21.75" customHeight="1" x14ac:dyDescent="0.25">
      <c r="B241" s="1169" t="s">
        <v>33</v>
      </c>
      <c r="C241" s="1170"/>
      <c r="D241" s="1170"/>
      <c r="E241" s="1171"/>
      <c r="F241" s="771"/>
      <c r="G241" s="690">
        <f>SUM(G230:G239)</f>
        <v>0</v>
      </c>
      <c r="H241" s="945"/>
      <c r="I241" s="946"/>
      <c r="J241" s="945"/>
    </row>
    <row r="243" spans="2:15" ht="13" x14ac:dyDescent="0.3">
      <c r="B243" s="381"/>
    </row>
    <row r="248" spans="2:15" ht="13" x14ac:dyDescent="0.3">
      <c r="B248" s="936"/>
      <c r="C248" s="936"/>
      <c r="D248" s="936"/>
      <c r="E248" s="936"/>
      <c r="F248" s="936"/>
      <c r="G248" s="434" t="s">
        <v>339</v>
      </c>
      <c r="H248" s="936"/>
      <c r="I248" s="936"/>
      <c r="J248" s="936"/>
      <c r="K248" s="936"/>
      <c r="L248" s="936"/>
      <c r="M248" s="936"/>
      <c r="N248" s="936"/>
      <c r="O248" s="957"/>
    </row>
    <row r="249" spans="2:15" ht="13" x14ac:dyDescent="0.3">
      <c r="B249" s="936"/>
      <c r="C249" s="936"/>
      <c r="D249" s="936"/>
      <c r="E249" s="936"/>
      <c r="F249" s="936"/>
      <c r="G249" s="434" t="s">
        <v>145</v>
      </c>
      <c r="H249" s="936"/>
      <c r="I249" s="936"/>
      <c r="J249" s="936"/>
      <c r="K249" s="936"/>
      <c r="L249" s="936"/>
      <c r="M249" s="936"/>
      <c r="N249" s="936"/>
      <c r="O249" s="957"/>
    </row>
    <row r="250" spans="2:15" s="176" customFormat="1" ht="69.75" customHeight="1" x14ac:dyDescent="0.25">
      <c r="B250" s="1175" t="s">
        <v>354</v>
      </c>
      <c r="C250" s="1176"/>
      <c r="D250" s="1176"/>
      <c r="E250" s="1177"/>
      <c r="F250" s="937"/>
      <c r="G250" s="675" t="s">
        <v>385</v>
      </c>
      <c r="H250" s="675" t="s">
        <v>385</v>
      </c>
      <c r="I250" s="675">
        <f t="shared" ref="I250:M250" si="92">+I131</f>
        <v>2010</v>
      </c>
      <c r="J250" s="675">
        <f t="shared" si="92"/>
        <v>2011</v>
      </c>
      <c r="K250" s="675">
        <f t="shared" si="92"/>
        <v>2012</v>
      </c>
      <c r="L250" s="675">
        <f t="shared" si="92"/>
        <v>2013</v>
      </c>
      <c r="M250" s="675">
        <f t="shared" si="92"/>
        <v>2014</v>
      </c>
      <c r="N250" s="598"/>
      <c r="O250" s="675" t="str">
        <f>+O131</f>
        <v>TOTAAL</v>
      </c>
    </row>
    <row r="251" spans="2:15" s="714" customFormat="1" ht="12" customHeight="1" x14ac:dyDescent="0.25">
      <c r="B251" s="384"/>
      <c r="C251" s="384"/>
      <c r="D251" s="384"/>
      <c r="E251" s="384"/>
      <c r="F251" s="938"/>
      <c r="G251" s="925"/>
      <c r="H251" s="926"/>
      <c r="I251" s="387"/>
      <c r="N251" s="598"/>
    </row>
    <row r="252" spans="2:15" s="610" customFormat="1" ht="28.5" customHeight="1" x14ac:dyDescent="0.25">
      <c r="B252" s="1178" t="s">
        <v>374</v>
      </c>
      <c r="C252" s="1178"/>
      <c r="D252" s="1178"/>
      <c r="E252" s="1178"/>
      <c r="F252" s="937"/>
      <c r="G252" s="939"/>
      <c r="H252" s="939"/>
      <c r="I252" s="948">
        <v>0</v>
      </c>
      <c r="J252" s="948">
        <v>0</v>
      </c>
      <c r="K252" s="948">
        <v>0</v>
      </c>
      <c r="L252" s="948">
        <v>0</v>
      </c>
      <c r="M252" s="948">
        <v>0</v>
      </c>
      <c r="N252" s="598"/>
      <c r="O252" s="954">
        <f>SUM(I252:M252)</f>
        <v>0</v>
      </c>
    </row>
    <row r="253" spans="2:15" s="610" customFormat="1" x14ac:dyDescent="0.25">
      <c r="B253" s="176"/>
      <c r="C253" s="176"/>
      <c r="D253" s="176"/>
      <c r="E253" s="176"/>
      <c r="F253" s="940"/>
      <c r="G253" s="940"/>
      <c r="H253" s="940"/>
      <c r="I253" s="176"/>
      <c r="J253" s="176"/>
      <c r="K253" s="176"/>
      <c r="L253" s="176"/>
      <c r="M253" s="176"/>
      <c r="N253" s="598"/>
      <c r="O253" s="176"/>
    </row>
    <row r="254" spans="2:15" s="610" customFormat="1" ht="13" x14ac:dyDescent="0.25">
      <c r="B254" s="1172" t="s">
        <v>33</v>
      </c>
      <c r="C254" s="1173"/>
      <c r="D254" s="1173"/>
      <c r="E254" s="1174"/>
      <c r="F254" s="941"/>
      <c r="G254" s="942"/>
      <c r="H254" s="942"/>
      <c r="I254" s="436">
        <f t="shared" ref="I254:L254" si="93">SUM(I252:I252)</f>
        <v>0</v>
      </c>
      <c r="J254" s="436">
        <f t="shared" si="93"/>
        <v>0</v>
      </c>
      <c r="K254" s="436">
        <f t="shared" si="93"/>
        <v>0</v>
      </c>
      <c r="L254" s="436">
        <f t="shared" si="93"/>
        <v>0</v>
      </c>
      <c r="M254" s="436">
        <f>SUM(M252:M252)</f>
        <v>0</v>
      </c>
      <c r="N254" s="598"/>
      <c r="O254" s="436">
        <f>SUM(O252:O252)</f>
        <v>0</v>
      </c>
    </row>
  </sheetData>
  <customSheetViews>
    <customSheetView guid="{C8C7977F-B6BF-432B-A1A7-559450D521AF}" scale="90" topLeftCell="A14">
      <selection activeCell="G49" sqref="G48:G49"/>
      <pageMargins left="0.7" right="0.7" top="0.75" bottom="0.75" header="0.3" footer="0.3"/>
      <pageSetup paperSize="9" orientation="portrait" r:id="rId1"/>
    </customSheetView>
  </customSheetViews>
  <mergeCells count="213">
    <mergeCell ref="H227:J227"/>
    <mergeCell ref="B218:E218"/>
    <mergeCell ref="B232:E232"/>
    <mergeCell ref="B209:E209"/>
    <mergeCell ref="B210:E210"/>
    <mergeCell ref="B211:E211"/>
    <mergeCell ref="B212:E212"/>
    <mergeCell ref="B214:E214"/>
    <mergeCell ref="B12:H12"/>
    <mergeCell ref="B64:E64"/>
    <mergeCell ref="B109:E109"/>
    <mergeCell ref="B110:E110"/>
    <mergeCell ref="B111:E111"/>
    <mergeCell ref="B91:E91"/>
    <mergeCell ref="B92:E92"/>
    <mergeCell ref="B95:E95"/>
    <mergeCell ref="B99:E99"/>
    <mergeCell ref="B106:E106"/>
    <mergeCell ref="B107:E107"/>
    <mergeCell ref="B108:E108"/>
    <mergeCell ref="B84:E84"/>
    <mergeCell ref="B75:E75"/>
    <mergeCell ref="B76:E76"/>
    <mergeCell ref="B87:E87"/>
    <mergeCell ref="B101:E101"/>
    <mergeCell ref="B102:E102"/>
    <mergeCell ref="B105:E105"/>
    <mergeCell ref="B197:E197"/>
    <mergeCell ref="B198:E198"/>
    <mergeCell ref="B205:E205"/>
    <mergeCell ref="B181:E181"/>
    <mergeCell ref="B182:E182"/>
    <mergeCell ref="B183:E183"/>
    <mergeCell ref="B185:E185"/>
    <mergeCell ref="B186:E186"/>
    <mergeCell ref="B188:E188"/>
    <mergeCell ref="B189:E189"/>
    <mergeCell ref="B154:E154"/>
    <mergeCell ref="B161:E161"/>
    <mergeCell ref="B184:E184"/>
    <mergeCell ref="B173:E173"/>
    <mergeCell ref="B175:E175"/>
    <mergeCell ref="B179:E179"/>
    <mergeCell ref="B193:E193"/>
    <mergeCell ref="B190:E190"/>
    <mergeCell ref="B241:E241"/>
    <mergeCell ref="B44:E44"/>
    <mergeCell ref="B46:E46"/>
    <mergeCell ref="B47:E47"/>
    <mergeCell ref="B48:E48"/>
    <mergeCell ref="B49:E49"/>
    <mergeCell ref="B50:E50"/>
    <mergeCell ref="B51:E51"/>
    <mergeCell ref="B52:E52"/>
    <mergeCell ref="B187:E187"/>
    <mergeCell ref="B53:E53"/>
    <mergeCell ref="B72:E72"/>
    <mergeCell ref="B73:E73"/>
    <mergeCell ref="B78:E78"/>
    <mergeCell ref="B79:E79"/>
    <mergeCell ref="B83:E83"/>
    <mergeCell ref="B70:E70"/>
    <mergeCell ref="B71:E71"/>
    <mergeCell ref="B194:E194"/>
    <mergeCell ref="B195:E195"/>
    <mergeCell ref="B180:E180"/>
    <mergeCell ref="B88:E88"/>
    <mergeCell ref="B86:E86"/>
    <mergeCell ref="B96:E96"/>
    <mergeCell ref="B191:E191"/>
    <mergeCell ref="B178:E178"/>
    <mergeCell ref="B177:E177"/>
    <mergeCell ref="B98:E98"/>
    <mergeCell ref="B136:E136"/>
    <mergeCell ref="B121:E121"/>
    <mergeCell ref="B145:E145"/>
    <mergeCell ref="B146:E146"/>
    <mergeCell ref="B147:E147"/>
    <mergeCell ref="B148:E148"/>
    <mergeCell ref="B127:E127"/>
    <mergeCell ref="B137:E137"/>
    <mergeCell ref="B133:E133"/>
    <mergeCell ref="B144:E144"/>
    <mergeCell ref="B139:E139"/>
    <mergeCell ref="B140:E140"/>
    <mergeCell ref="B141:E141"/>
    <mergeCell ref="B142:E142"/>
    <mergeCell ref="B143:E143"/>
    <mergeCell ref="B115:E115"/>
    <mergeCell ref="B116:E116"/>
    <mergeCell ref="B118:E118"/>
    <mergeCell ref="B119:E119"/>
    <mergeCell ref="B112:E112"/>
    <mergeCell ref="A1:J1"/>
    <mergeCell ref="B228:E228"/>
    <mergeCell ref="B230:E230"/>
    <mergeCell ref="B231:E231"/>
    <mergeCell ref="B233:E233"/>
    <mergeCell ref="B150:E150"/>
    <mergeCell ref="B151:E151"/>
    <mergeCell ref="B35:E35"/>
    <mergeCell ref="B192:E192"/>
    <mergeCell ref="B157:E157"/>
    <mergeCell ref="B41:E41"/>
    <mergeCell ref="B80:E80"/>
    <mergeCell ref="B82:E82"/>
    <mergeCell ref="B77:E77"/>
    <mergeCell ref="B97:E97"/>
    <mergeCell ref="B81:E81"/>
    <mergeCell ref="B68:E68"/>
    <mergeCell ref="B94:E94"/>
    <mergeCell ref="B90:E90"/>
    <mergeCell ref="B85:E85"/>
    <mergeCell ref="B37:E37"/>
    <mergeCell ref="B38:E38"/>
    <mergeCell ref="B39:E39"/>
    <mergeCell ref="B40:E40"/>
    <mergeCell ref="B4:E4"/>
    <mergeCell ref="B7:E7"/>
    <mergeCell ref="B17:E17"/>
    <mergeCell ref="B19:E19"/>
    <mergeCell ref="B20:E20"/>
    <mergeCell ref="B21:E21"/>
    <mergeCell ref="B61:E61"/>
    <mergeCell ref="B74:E74"/>
    <mergeCell ref="B66:E66"/>
    <mergeCell ref="B67:E67"/>
    <mergeCell ref="B59:E59"/>
    <mergeCell ref="B45:E45"/>
    <mergeCell ref="B65:E65"/>
    <mergeCell ref="B42:E42"/>
    <mergeCell ref="B43:E43"/>
    <mergeCell ref="B62:E62"/>
    <mergeCell ref="B63:E63"/>
    <mergeCell ref="B54:E54"/>
    <mergeCell ref="B55:E55"/>
    <mergeCell ref="B56:E56"/>
    <mergeCell ref="B57:E57"/>
    <mergeCell ref="B58:E58"/>
    <mergeCell ref="B69:E69"/>
    <mergeCell ref="B60:E60"/>
    <mergeCell ref="B134:E134"/>
    <mergeCell ref="B135:E135"/>
    <mergeCell ref="B120:E120"/>
    <mergeCell ref="B122:E122"/>
    <mergeCell ref="B123:E123"/>
    <mergeCell ref="B124:E124"/>
    <mergeCell ref="B125:E125"/>
    <mergeCell ref="B126:E126"/>
    <mergeCell ref="B22:E22"/>
    <mergeCell ref="B24:E24"/>
    <mergeCell ref="B25:E25"/>
    <mergeCell ref="B26:E26"/>
    <mergeCell ref="B27:E27"/>
    <mergeCell ref="B30:E30"/>
    <mergeCell ref="B28:E28"/>
    <mergeCell ref="B23:E23"/>
    <mergeCell ref="B131:E131"/>
    <mergeCell ref="B89:E89"/>
    <mergeCell ref="B93:E93"/>
    <mergeCell ref="B103:E103"/>
    <mergeCell ref="B104:E104"/>
    <mergeCell ref="B113:E113"/>
    <mergeCell ref="B114:E114"/>
    <mergeCell ref="B100:E100"/>
    <mergeCell ref="B155:E155"/>
    <mergeCell ref="B235:E235"/>
    <mergeCell ref="B138:E138"/>
    <mergeCell ref="B196:E196"/>
    <mergeCell ref="B162:E162"/>
    <mergeCell ref="B163:E163"/>
    <mergeCell ref="B164:E164"/>
    <mergeCell ref="B165:E165"/>
    <mergeCell ref="B174:E174"/>
    <mergeCell ref="B176:E176"/>
    <mergeCell ref="B158:E158"/>
    <mergeCell ref="B169:E169"/>
    <mergeCell ref="B171:E171"/>
    <mergeCell ref="B172:E172"/>
    <mergeCell ref="B166:E166"/>
    <mergeCell ref="B167:E167"/>
    <mergeCell ref="B168:E168"/>
    <mergeCell ref="B170:E170"/>
    <mergeCell ref="B159:E159"/>
    <mergeCell ref="B160:E160"/>
    <mergeCell ref="B156:E156"/>
    <mergeCell ref="B153:E153"/>
    <mergeCell ref="B149:E149"/>
    <mergeCell ref="B152:E152"/>
    <mergeCell ref="B254:E254"/>
    <mergeCell ref="B250:E250"/>
    <mergeCell ref="B252:E252"/>
    <mergeCell ref="B199:E199"/>
    <mergeCell ref="B200:E200"/>
    <mergeCell ref="B201:E201"/>
    <mergeCell ref="B202:E202"/>
    <mergeCell ref="B203:E203"/>
    <mergeCell ref="B204:E204"/>
    <mergeCell ref="B237:E237"/>
    <mergeCell ref="B208:E208"/>
    <mergeCell ref="B239:E239"/>
    <mergeCell ref="B219:E219"/>
    <mergeCell ref="B220:E220"/>
    <mergeCell ref="B221:E221"/>
    <mergeCell ref="B222:E222"/>
    <mergeCell ref="B206:E206"/>
    <mergeCell ref="B234:E234"/>
    <mergeCell ref="B238:E238"/>
    <mergeCell ref="B215:E215"/>
    <mergeCell ref="B216:E216"/>
    <mergeCell ref="B207:E207"/>
    <mergeCell ref="B236:E236"/>
    <mergeCell ref="B217:E217"/>
  </mergeCells>
  <conditionalFormatting sqref="B23:M25 B69:M92 B165:M188 B234:G236">
    <cfRule type="expression" dxfId="11" priority="8" stopIfTrue="1">
      <formula>$B$7="gas"</formula>
    </cfRule>
  </conditionalFormatting>
  <conditionalFormatting sqref="B26:M26 B93:M100 B189:M196 B237:G237">
    <cfRule type="expression" dxfId="10" priority="7" stopIfTrue="1">
      <formula>$B$7="elektriciteit"</formula>
    </cfRule>
  </conditionalFormatting>
  <conditionalFormatting sqref="H234:J236">
    <cfRule type="expression" dxfId="9" priority="6" stopIfTrue="1">
      <formula>$B$7="gas"</formula>
    </cfRule>
  </conditionalFormatting>
  <conditionalFormatting sqref="H237:J237">
    <cfRule type="expression" dxfId="8" priority="5" stopIfTrue="1">
      <formula>$B$7="elektriciteit"</formula>
    </cfRule>
  </conditionalFormatting>
  <conditionalFormatting sqref="O23:O25 O69:O92 O165:O188">
    <cfRule type="expression" dxfId="7" priority="4" stopIfTrue="1">
      <formula>$B$7="gas"</formula>
    </cfRule>
  </conditionalFormatting>
  <conditionalFormatting sqref="O26 O93:O100 O189:O196">
    <cfRule type="expression" dxfId="6" priority="3" stopIfTrue="1">
      <formula>$B$7="elektriciteit"</formula>
    </cfRule>
  </conditionalFormatting>
  <conditionalFormatting sqref="B226:J227 B229:J241 B228:F228 H228:J228">
    <cfRule type="expression" dxfId="5" priority="2" stopIfTrue="1">
      <formula>$E$2="ex-post"</formula>
    </cfRule>
  </conditionalFormatting>
  <conditionalFormatting sqref="G228">
    <cfRule type="expression" dxfId="4" priority="1" stopIfTrue="1">
      <formula>$E$2="ex-post"</formula>
    </cfRule>
  </conditionalFormatting>
  <pageMargins left="0.70866141732283472" right="0.70866141732283472" top="0.74803149606299213" bottom="0.74803149606299213" header="0.31496062992125984" footer="0.31496062992125984"/>
  <pageSetup paperSize="8" scale="27" fitToWidth="2" fitToHeight="2" orientation="landscape" r:id="rId2"/>
  <rowBreaks count="2" manualBreakCount="2">
    <brk id="76" max="14" man="1"/>
    <brk id="156" max="14" man="1"/>
  </rowBreaks>
  <ignoredErrors>
    <ignoredError sqref="I134:M134 I120:M126 O120:O126 I213:M213 I142:M142 I150:M150 I158:M158 I166:M166 I174:M174 I182:M182 I190:M190 I198:M198 O213 I206:M206 I216:M222 I141:O141 N216:N221 I207:N212 N206 I215:N215 N213 I205:O205 N198 I197:O197 N190 I189:O189 N182 I181:O181 N174 I173:O173 N166 I165:O165 N158 I157:O157 N150 I149:O149 N142 J214:O214 N222 I199:N204 I191:N196 I183:N188 I175:N180 I167:N172 I159:N164 I151:N156 I143:N148 I135:N140 O117"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pageSetUpPr fitToPage="1"/>
  </sheetPr>
  <dimension ref="A1:R25"/>
  <sheetViews>
    <sheetView zoomScale="85" zoomScaleNormal="85" workbookViewId="0">
      <selection activeCell="B4" sqref="B4:D8"/>
    </sheetView>
  </sheetViews>
  <sheetFormatPr defaultColWidth="9.1796875" defaultRowHeight="12.5" x14ac:dyDescent="0.25"/>
  <cols>
    <col min="1" max="1" width="8" style="20" customWidth="1"/>
    <col min="2" max="2" width="48.453125" style="20" customWidth="1"/>
    <col min="3" max="3" width="9.1796875" style="20"/>
    <col min="4" max="4" width="27.1796875" style="20" customWidth="1"/>
    <col min="5" max="16384" width="9.1796875" style="20"/>
  </cols>
  <sheetData>
    <row r="1" spans="1:18" ht="38.25" customHeight="1" thickBot="1" x14ac:dyDescent="0.45">
      <c r="A1" s="1113" t="s">
        <v>297</v>
      </c>
      <c r="B1" s="1114"/>
      <c r="C1" s="1114"/>
      <c r="D1" s="1114"/>
      <c r="E1" s="1114"/>
      <c r="F1" s="1115"/>
      <c r="G1" s="394">
        <v>0</v>
      </c>
      <c r="H1" s="394"/>
      <c r="I1" s="394"/>
      <c r="J1" s="394"/>
      <c r="K1" s="394"/>
    </row>
    <row r="2" spans="1:18" x14ac:dyDescent="0.25">
      <c r="F2" s="394"/>
      <c r="G2" s="394"/>
      <c r="H2" s="394"/>
      <c r="I2" s="394"/>
      <c r="J2" s="394"/>
      <c r="K2" s="394"/>
    </row>
    <row r="3" spans="1:18" s="48" customFormat="1" ht="13" x14ac:dyDescent="0.25">
      <c r="B3" s="49" t="s">
        <v>62</v>
      </c>
      <c r="C3" s="50"/>
      <c r="H3" s="50"/>
      <c r="N3" s="483"/>
      <c r="O3" s="483"/>
      <c r="P3" s="483"/>
      <c r="Q3" s="483"/>
      <c r="R3" s="483"/>
    </row>
    <row r="4" spans="1:18" s="48" customFormat="1" x14ac:dyDescent="0.25">
      <c r="B4" s="1016" t="s">
        <v>356</v>
      </c>
      <c r="C4" s="1016"/>
      <c r="D4" s="1016"/>
      <c r="H4" s="50"/>
    </row>
    <row r="5" spans="1:18" x14ac:dyDescent="0.25">
      <c r="B5" s="1016"/>
      <c r="C5" s="1016"/>
      <c r="D5" s="1016"/>
      <c r="F5" s="394"/>
      <c r="G5" s="394"/>
      <c r="H5" s="394"/>
      <c r="I5" s="394"/>
      <c r="J5" s="394"/>
      <c r="K5" s="394"/>
    </row>
    <row r="6" spans="1:18" x14ac:dyDescent="0.25">
      <c r="B6" s="1016"/>
      <c r="C6" s="1016"/>
      <c r="D6" s="1016"/>
      <c r="F6" s="394"/>
      <c r="G6" s="394"/>
      <c r="H6" s="394"/>
      <c r="I6" s="394"/>
      <c r="J6" s="394"/>
      <c r="K6" s="394"/>
    </row>
    <row r="7" spans="1:18" x14ac:dyDescent="0.25">
      <c r="B7" s="1016"/>
      <c r="C7" s="1016"/>
      <c r="D7" s="1016"/>
      <c r="F7" s="394"/>
      <c r="G7" s="394"/>
      <c r="H7" s="394"/>
      <c r="I7" s="394"/>
      <c r="J7" s="394"/>
      <c r="K7" s="394"/>
    </row>
    <row r="8" spans="1:18" x14ac:dyDescent="0.25">
      <c r="B8" s="1016"/>
      <c r="C8" s="1016"/>
      <c r="D8" s="1016"/>
      <c r="F8" s="394"/>
      <c r="G8" s="394"/>
      <c r="H8" s="394"/>
      <c r="I8" s="394"/>
      <c r="J8" s="394"/>
      <c r="K8" s="394"/>
    </row>
    <row r="9" spans="1:18" x14ac:dyDescent="0.25">
      <c r="F9" s="394"/>
      <c r="G9" s="394"/>
      <c r="H9" s="394"/>
      <c r="I9" s="394"/>
      <c r="J9" s="394"/>
      <c r="K9" s="394"/>
    </row>
    <row r="10" spans="1:18" x14ac:dyDescent="0.25">
      <c r="B10" s="1185"/>
      <c r="D10" s="393" t="s">
        <v>2</v>
      </c>
      <c r="F10" s="394" t="str">
        <f>+TITELBLAD!B18</f>
        <v>Rapportering over boekjaar:</v>
      </c>
      <c r="G10" s="394"/>
      <c r="H10" s="394"/>
      <c r="I10" s="394">
        <f>+TITELBLAD!E18</f>
        <v>2019</v>
      </c>
      <c r="J10" s="394" t="str">
        <f>+TITELBLAD!F18</f>
        <v>ex-ante</v>
      </c>
      <c r="K10" s="394"/>
    </row>
    <row r="11" spans="1:18" x14ac:dyDescent="0.25">
      <c r="B11" s="1186"/>
      <c r="D11" s="125">
        <f>TITELBLAD!E18</f>
        <v>2019</v>
      </c>
      <c r="F11" s="394"/>
      <c r="G11" s="394"/>
      <c r="H11" s="394"/>
      <c r="I11" s="394"/>
      <c r="J11" s="394"/>
      <c r="K11" s="394" t="s">
        <v>15</v>
      </c>
    </row>
    <row r="12" spans="1:18" x14ac:dyDescent="0.25">
      <c r="B12" s="1186"/>
      <c r="D12" s="124" t="str">
        <f>TITELBLAD!$C$7</f>
        <v>Naam distributienetbeheerder</v>
      </c>
      <c r="F12" s="394"/>
      <c r="G12" s="394"/>
      <c r="H12" s="394"/>
      <c r="I12" s="394"/>
      <c r="J12" s="394"/>
      <c r="K12" s="394" t="s">
        <v>16</v>
      </c>
    </row>
    <row r="13" spans="1:18" x14ac:dyDescent="0.25">
      <c r="B13" s="1186"/>
      <c r="D13" s="125" t="str">
        <f>TITELBLAD!C12</f>
        <v>elektriciteit</v>
      </c>
      <c r="F13" s="394"/>
      <c r="G13" s="394"/>
      <c r="H13" s="394"/>
      <c r="I13" s="394"/>
      <c r="J13" s="394"/>
      <c r="K13" s="394"/>
    </row>
    <row r="14" spans="1:18" x14ac:dyDescent="0.25">
      <c r="B14" s="1186"/>
      <c r="D14" s="126"/>
      <c r="F14" s="394"/>
      <c r="G14" s="394"/>
      <c r="H14" s="394"/>
      <c r="I14" s="394"/>
      <c r="J14" s="394"/>
      <c r="K14" s="394"/>
    </row>
    <row r="15" spans="1:18" ht="30.75" customHeight="1" x14ac:dyDescent="0.25">
      <c r="B15" s="675" t="s">
        <v>280</v>
      </c>
      <c r="C15" s="397"/>
      <c r="D15" s="675" t="s">
        <v>1</v>
      </c>
    </row>
    <row r="16" spans="1:18" ht="33.75" customHeight="1" x14ac:dyDescent="0.25">
      <c r="B16" s="752" t="s">
        <v>14</v>
      </c>
      <c r="C16" s="395"/>
      <c r="D16" s="160">
        <f>AVERAGE(D17:D18)</f>
        <v>0</v>
      </c>
    </row>
    <row r="17" spans="2:8" ht="34.5" customHeight="1" x14ac:dyDescent="0.25">
      <c r="B17" s="396" t="s">
        <v>324</v>
      </c>
      <c r="C17" s="388"/>
      <c r="D17" s="471">
        <v>0</v>
      </c>
    </row>
    <row r="18" spans="2:8" ht="35.25" customHeight="1" x14ac:dyDescent="0.25">
      <c r="B18" s="396" t="s">
        <v>325</v>
      </c>
      <c r="C18" s="388"/>
      <c r="D18" s="160">
        <v>0</v>
      </c>
    </row>
    <row r="19" spans="2:8" ht="77.25" customHeight="1" x14ac:dyDescent="0.25">
      <c r="B19" s="753" t="s">
        <v>281</v>
      </c>
      <c r="C19" s="388"/>
      <c r="D19" s="754">
        <v>0</v>
      </c>
    </row>
    <row r="20" spans="2:8" s="21" customFormat="1" ht="13" x14ac:dyDescent="0.25">
      <c r="B20" s="398"/>
      <c r="D20" s="399"/>
    </row>
    <row r="21" spans="2:8" ht="48" customHeight="1" x14ac:dyDescent="0.25">
      <c r="B21" s="400" t="s">
        <v>283</v>
      </c>
      <c r="C21" s="688"/>
      <c r="D21" s="755"/>
    </row>
    <row r="22" spans="2:8" ht="29.25" customHeight="1" x14ac:dyDescent="0.25">
      <c r="B22" s="400" t="s">
        <v>68</v>
      </c>
      <c r="C22" s="688"/>
      <c r="D22" s="756" t="e">
        <f>IF(D21="Neen","0,00",D19/D16)</f>
        <v>#DIV/0!</v>
      </c>
      <c r="G22" s="394"/>
      <c r="H22" s="394" t="s">
        <v>15</v>
      </c>
    </row>
    <row r="23" spans="2:8" ht="17.25" customHeight="1" x14ac:dyDescent="0.25">
      <c r="B23" s="759" t="s">
        <v>323</v>
      </c>
      <c r="C23" s="688"/>
      <c r="D23" s="757">
        <v>0</v>
      </c>
    </row>
    <row r="24" spans="2:8" ht="20.25" customHeight="1" x14ac:dyDescent="0.25">
      <c r="B24" s="400" t="s">
        <v>59</v>
      </c>
      <c r="C24" s="688"/>
      <c r="D24" s="758">
        <f>IF(D21="Neen","0,00",D23*D16)</f>
        <v>0</v>
      </c>
      <c r="F24" s="819"/>
    </row>
    <row r="25" spans="2:8" ht="45" customHeight="1" x14ac:dyDescent="0.25">
      <c r="B25" s="456" t="s">
        <v>321</v>
      </c>
      <c r="C25" s="388"/>
      <c r="D25" s="758">
        <f>IF(D21="Neen","0,00",MAX(G1,D24-D19))</f>
        <v>0</v>
      </c>
    </row>
  </sheetData>
  <customSheetViews>
    <customSheetView guid="{C8C7977F-B6BF-432B-A1A7-559450D521AF}" scale="85">
      <selection activeCell="D22" sqref="D22"/>
      <pageMargins left="0.7" right="0.7" top="0.75" bottom="0.75" header="0.3" footer="0.3"/>
      <pageSetup paperSize="9" orientation="portrait" r:id="rId1"/>
    </customSheetView>
  </customSheetViews>
  <mergeCells count="3">
    <mergeCell ref="B10:B14"/>
    <mergeCell ref="B4:D8"/>
    <mergeCell ref="A1:F1"/>
  </mergeCells>
  <conditionalFormatting sqref="D16:D19 D21:D25">
    <cfRule type="expression" dxfId="3" priority="1" stopIfTrue="1">
      <formula>$J$10="ex-ante"</formula>
    </cfRule>
    <cfRule type="expression" dxfId="2" priority="2" stopIfTrue="1">
      <formula>$D$13="gas"</formula>
    </cfRule>
  </conditionalFormatting>
  <dataValidations count="1">
    <dataValidation type="list" allowBlank="1" showInputMessage="1" showErrorMessage="1" sqref="D21">
      <formula1>$K$11:$K$12</formula1>
    </dataValidation>
  </dataValidations>
  <pageMargins left="0.70866141732283472" right="0.70866141732283472" top="0.74803149606299213" bottom="0.74803149606299213" header="0.31496062992125984" footer="0.31496062992125984"/>
  <pageSetup paperSize="8" orientation="portrait" r:id="rId2"/>
  <ignoredErrors>
    <ignoredError sqref="D16" formulaRange="1"/>
    <ignoredError sqref="D22"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Blad11">
    <pageSetUpPr fitToPage="1"/>
  </sheetPr>
  <dimension ref="A1:O57"/>
  <sheetViews>
    <sheetView showGridLines="0" zoomScale="85" zoomScaleNormal="85" workbookViewId="0">
      <selection activeCell="A6" sqref="A6"/>
    </sheetView>
  </sheetViews>
  <sheetFormatPr defaultColWidth="8.81640625" defaultRowHeight="12.5" x14ac:dyDescent="0.25"/>
  <cols>
    <col min="1" max="1" width="23.453125" style="404" customWidth="1"/>
    <col min="2" max="2" width="58.453125" style="404" customWidth="1"/>
    <col min="3" max="9" width="15.7265625" style="404" customWidth="1"/>
    <col min="10" max="10" width="32.453125" style="404" customWidth="1"/>
    <col min="11" max="15" width="15.7265625" style="404" customWidth="1"/>
    <col min="16" max="16384" width="8.81640625" style="404"/>
  </cols>
  <sheetData>
    <row r="1" spans="1:15" s="401" customFormat="1" ht="18.5" thickBot="1" x14ac:dyDescent="0.45">
      <c r="A1" s="1201" t="s">
        <v>279</v>
      </c>
      <c r="B1" s="1202"/>
      <c r="C1" s="1202"/>
      <c r="D1" s="1202"/>
      <c r="E1" s="1202"/>
      <c r="F1" s="1202"/>
      <c r="G1" s="1202"/>
      <c r="H1" s="1202"/>
      <c r="I1" s="1202"/>
      <c r="J1" s="1203"/>
      <c r="K1" s="596"/>
      <c r="L1" s="596"/>
      <c r="M1" s="596"/>
      <c r="N1" s="596"/>
      <c r="O1" s="596"/>
    </row>
    <row r="2" spans="1:15" s="293" customFormat="1" ht="10.5" x14ac:dyDescent="0.25">
      <c r="A2" s="402"/>
      <c r="B2" s="402"/>
      <c r="C2" s="402"/>
      <c r="K2" s="594" t="str">
        <f>+TITELBLAD!B18</f>
        <v>Rapportering over boekjaar:</v>
      </c>
      <c r="L2" s="594"/>
      <c r="M2" s="594">
        <f>+TITELBLAD!E18</f>
        <v>2019</v>
      </c>
      <c r="N2" s="594" t="str">
        <f>+TITELBLAD!F18</f>
        <v>ex-ante</v>
      </c>
      <c r="O2" s="594"/>
    </row>
    <row r="3" spans="1:15" ht="13" x14ac:dyDescent="0.3">
      <c r="A3" s="403" t="s">
        <v>50</v>
      </c>
      <c r="K3" s="595"/>
      <c r="L3" s="595"/>
      <c r="M3" s="594"/>
      <c r="N3" s="594"/>
      <c r="O3" s="595"/>
    </row>
    <row r="4" spans="1:15" ht="13" x14ac:dyDescent="0.3">
      <c r="A4" s="405" t="s">
        <v>304</v>
      </c>
      <c r="K4" s="595"/>
      <c r="L4" s="595"/>
      <c r="M4" s="595"/>
      <c r="N4" s="595"/>
      <c r="O4" s="595"/>
    </row>
    <row r="5" spans="1:15" ht="13" x14ac:dyDescent="0.3">
      <c r="A5" s="405" t="s">
        <v>305</v>
      </c>
      <c r="K5" s="595"/>
      <c r="L5" s="595"/>
      <c r="M5" s="595"/>
      <c r="N5" s="595"/>
      <c r="O5" s="595"/>
    </row>
    <row r="6" spans="1:15" ht="13" x14ac:dyDescent="0.3">
      <c r="A6" s="405" t="s">
        <v>284</v>
      </c>
      <c r="K6" s="595"/>
      <c r="L6" s="595"/>
      <c r="M6" s="595"/>
      <c r="N6" s="595"/>
      <c r="O6" s="595"/>
    </row>
    <row r="7" spans="1:15" ht="13" x14ac:dyDescent="0.3">
      <c r="A7" s="406" t="s">
        <v>213</v>
      </c>
      <c r="B7" s="263"/>
      <c r="C7" s="263"/>
    </row>
    <row r="8" spans="1:15" s="293" customFormat="1" ht="14.5" x14ac:dyDescent="0.35">
      <c r="A8" s="402"/>
      <c r="B8" s="402"/>
      <c r="C8" s="641"/>
      <c r="J8" s="404"/>
      <c r="K8" s="404"/>
      <c r="L8" s="404"/>
      <c r="M8" s="404"/>
      <c r="N8" s="404"/>
      <c r="O8" s="404"/>
    </row>
    <row r="9" spans="1:15" s="293" customFormat="1" ht="13" thickBot="1" x14ac:dyDescent="0.3">
      <c r="A9" s="402"/>
      <c r="B9" s="402"/>
      <c r="C9" s="402"/>
      <c r="J9" s="404"/>
      <c r="K9" s="404"/>
      <c r="L9" s="404"/>
      <c r="M9" s="404"/>
      <c r="N9" s="404"/>
      <c r="O9" s="404"/>
    </row>
    <row r="10" spans="1:15" s="258" customFormat="1" ht="13" thickBot="1" x14ac:dyDescent="0.3">
      <c r="A10" s="407"/>
      <c r="B10" s="407"/>
      <c r="C10" s="1212" t="str">
        <f>+TITELBLAD!C7</f>
        <v>Naam distributienetbeheerder</v>
      </c>
      <c r="D10" s="1213"/>
      <c r="E10" s="1213"/>
      <c r="F10" s="1213"/>
      <c r="G10" s="1213"/>
      <c r="H10" s="1214"/>
      <c r="J10" s="404"/>
      <c r="K10" s="404"/>
      <c r="L10" s="404"/>
      <c r="M10" s="404"/>
      <c r="N10" s="404"/>
      <c r="O10" s="404"/>
    </row>
    <row r="11" spans="1:15" s="258" customFormat="1" ht="13" thickBot="1" x14ac:dyDescent="0.3">
      <c r="A11" s="407"/>
      <c r="B11" s="407"/>
      <c r="C11" s="1212" t="str">
        <f>+TITELBLAD!C12</f>
        <v>elektriciteit</v>
      </c>
      <c r="D11" s="1213"/>
      <c r="E11" s="1213"/>
      <c r="F11" s="1213"/>
      <c r="G11" s="1213"/>
      <c r="H11" s="1214"/>
      <c r="J11" s="404"/>
      <c r="K11" s="404"/>
      <c r="L11" s="404"/>
      <c r="M11" s="404"/>
      <c r="N11" s="404"/>
      <c r="O11" s="404"/>
    </row>
    <row r="12" spans="1:15" s="409" customFormat="1" ht="18.5" thickBot="1" x14ac:dyDescent="0.3">
      <c r="A12" s="408"/>
      <c r="C12" s="1204" t="str">
        <f>"Budget "&amp;'T2'!D3</f>
        <v>Budget 2017</v>
      </c>
      <c r="D12" s="1205"/>
      <c r="E12" s="1206"/>
      <c r="F12" s="1204" t="str">
        <f>"Realiteit "&amp;TITELBLAD!E15</f>
        <v>Realiteit 2017</v>
      </c>
      <c r="G12" s="1205"/>
      <c r="H12" s="1206"/>
      <c r="J12" s="404"/>
      <c r="K12" s="404"/>
      <c r="L12" s="404"/>
      <c r="M12" s="404"/>
      <c r="N12" s="404"/>
      <c r="O12" s="404"/>
    </row>
    <row r="13" spans="1:15" x14ac:dyDescent="0.25">
      <c r="A13" s="1193" t="s">
        <v>44</v>
      </c>
      <c r="B13" s="1194"/>
      <c r="C13" s="1207" t="s">
        <v>45</v>
      </c>
      <c r="D13" s="1187" t="s">
        <v>46</v>
      </c>
      <c r="E13" s="1187" t="s">
        <v>33</v>
      </c>
      <c r="F13" s="1207" t="s">
        <v>45</v>
      </c>
      <c r="G13" s="1187" t="s">
        <v>46</v>
      </c>
      <c r="H13" s="1190" t="s">
        <v>33</v>
      </c>
    </row>
    <row r="14" spans="1:15" x14ac:dyDescent="0.25">
      <c r="A14" s="1195"/>
      <c r="B14" s="1196"/>
      <c r="C14" s="1208"/>
      <c r="D14" s="1188"/>
      <c r="E14" s="1188"/>
      <c r="F14" s="1208"/>
      <c r="G14" s="1188"/>
      <c r="H14" s="1191"/>
    </row>
    <row r="15" spans="1:15" ht="13" thickBot="1" x14ac:dyDescent="0.3">
      <c r="A15" s="1197"/>
      <c r="B15" s="1198"/>
      <c r="C15" s="1209"/>
      <c r="D15" s="1189"/>
      <c r="E15" s="1189"/>
      <c r="F15" s="1209"/>
      <c r="G15" s="1189"/>
      <c r="H15" s="1192"/>
    </row>
    <row r="16" spans="1:15" x14ac:dyDescent="0.25">
      <c r="A16" s="617"/>
      <c r="B16" s="410"/>
      <c r="C16" s="626"/>
      <c r="D16" s="618"/>
      <c r="E16" s="411"/>
      <c r="F16" s="636"/>
      <c r="G16" s="629"/>
      <c r="H16" s="586"/>
    </row>
    <row r="17" spans="1:8" ht="13" x14ac:dyDescent="0.25">
      <c r="A17" s="1199" t="s">
        <v>47</v>
      </c>
      <c r="B17" s="1200"/>
      <c r="C17" s="3">
        <v>0</v>
      </c>
      <c r="D17" s="619">
        <v>0</v>
      </c>
      <c r="E17" s="412">
        <f>C17+D17</f>
        <v>0</v>
      </c>
      <c r="F17" s="587">
        <v>0</v>
      </c>
      <c r="G17" s="630">
        <v>0</v>
      </c>
      <c r="H17" s="588">
        <f>F17+G17</f>
        <v>0</v>
      </c>
    </row>
    <row r="18" spans="1:8" ht="13" x14ac:dyDescent="0.3">
      <c r="A18" s="413"/>
      <c r="B18" s="414"/>
      <c r="C18" s="415"/>
      <c r="D18" s="620"/>
      <c r="E18" s="416"/>
      <c r="F18" s="637"/>
      <c r="G18" s="631"/>
      <c r="H18" s="589"/>
    </row>
    <row r="19" spans="1:8" ht="13" x14ac:dyDescent="0.3">
      <c r="A19" s="417"/>
      <c r="B19" s="418"/>
      <c r="C19" s="415"/>
      <c r="D19" s="620"/>
      <c r="E19" s="416"/>
      <c r="F19" s="637"/>
      <c r="G19" s="631"/>
      <c r="H19" s="589"/>
    </row>
    <row r="20" spans="1:8" ht="13" x14ac:dyDescent="0.3">
      <c r="A20" s="419"/>
      <c r="B20" s="420"/>
      <c r="C20" s="421"/>
      <c r="D20" s="621"/>
      <c r="E20" s="422"/>
      <c r="F20" s="638"/>
      <c r="G20" s="632"/>
      <c r="H20" s="590"/>
    </row>
    <row r="21" spans="1:8" ht="13" x14ac:dyDescent="0.25">
      <c r="A21" s="1199" t="s">
        <v>186</v>
      </c>
      <c r="B21" s="1200"/>
      <c r="C21" s="3">
        <v>0</v>
      </c>
      <c r="D21" s="619">
        <v>0</v>
      </c>
      <c r="E21" s="412">
        <f>C21+D21</f>
        <v>0</v>
      </c>
      <c r="F21" s="587">
        <v>0</v>
      </c>
      <c r="G21" s="630">
        <v>0</v>
      </c>
      <c r="H21" s="588">
        <f>F21+G21</f>
        <v>0</v>
      </c>
    </row>
    <row r="22" spans="1:8" ht="13" x14ac:dyDescent="0.3">
      <c r="A22" s="413"/>
      <c r="B22" s="414"/>
      <c r="C22" s="415"/>
      <c r="D22" s="620"/>
      <c r="E22" s="416"/>
      <c r="F22" s="637"/>
      <c r="G22" s="631"/>
      <c r="H22" s="589"/>
    </row>
    <row r="23" spans="1:8" ht="13" x14ac:dyDescent="0.3">
      <c r="A23" s="417"/>
      <c r="B23" s="418"/>
      <c r="C23" s="423"/>
      <c r="D23" s="622"/>
      <c r="E23" s="424"/>
      <c r="F23" s="639"/>
      <c r="G23" s="633"/>
      <c r="H23" s="591"/>
    </row>
    <row r="24" spans="1:8" ht="13" x14ac:dyDescent="0.3">
      <c r="A24" s="419"/>
      <c r="B24" s="425"/>
      <c r="C24" s="415"/>
      <c r="D24" s="620"/>
      <c r="E24" s="416"/>
      <c r="F24" s="637"/>
      <c r="G24" s="631"/>
      <c r="H24" s="589"/>
    </row>
    <row r="25" spans="1:8" ht="13" x14ac:dyDescent="0.25">
      <c r="A25" s="1210" t="s">
        <v>48</v>
      </c>
      <c r="B25" s="1211"/>
      <c r="C25" s="3">
        <v>0</v>
      </c>
      <c r="D25" s="619">
        <v>0</v>
      </c>
      <c r="E25" s="412">
        <f>C25+D25</f>
        <v>0</v>
      </c>
      <c r="F25" s="587">
        <v>0</v>
      </c>
      <c r="G25" s="630">
        <v>0</v>
      </c>
      <c r="H25" s="588">
        <f>F25+G25</f>
        <v>0</v>
      </c>
    </row>
    <row r="26" spans="1:8" ht="13" x14ac:dyDescent="0.3">
      <c r="A26" s="419"/>
      <c r="B26" s="425"/>
      <c r="C26" s="415"/>
      <c r="D26" s="620"/>
      <c r="E26" s="416"/>
      <c r="F26" s="637"/>
      <c r="G26" s="631"/>
      <c r="H26" s="589"/>
    </row>
    <row r="27" spans="1:8" ht="13" x14ac:dyDescent="0.3">
      <c r="A27" s="417"/>
      <c r="B27" s="418"/>
      <c r="C27" s="415"/>
      <c r="D27" s="620"/>
      <c r="E27" s="416"/>
      <c r="F27" s="637"/>
      <c r="G27" s="631"/>
      <c r="H27" s="589"/>
    </row>
    <row r="28" spans="1:8" ht="13" x14ac:dyDescent="0.3">
      <c r="A28" s="419"/>
      <c r="B28" s="425"/>
      <c r="C28" s="421"/>
      <c r="D28" s="621"/>
      <c r="E28" s="422"/>
      <c r="F28" s="638"/>
      <c r="G28" s="632"/>
      <c r="H28" s="590"/>
    </row>
    <row r="29" spans="1:8" ht="13" x14ac:dyDescent="0.25">
      <c r="A29" s="1199" t="s">
        <v>71</v>
      </c>
      <c r="B29" s="1200"/>
      <c r="C29" s="3">
        <v>0</v>
      </c>
      <c r="D29" s="619">
        <v>0</v>
      </c>
      <c r="E29" s="412">
        <f>C29+D29</f>
        <v>0</v>
      </c>
      <c r="F29" s="587">
        <v>0</v>
      </c>
      <c r="G29" s="630">
        <v>0</v>
      </c>
      <c r="H29" s="588">
        <f>F29+G29</f>
        <v>0</v>
      </c>
    </row>
    <row r="30" spans="1:8" ht="13" x14ac:dyDescent="0.3">
      <c r="A30" s="419"/>
      <c r="B30" s="425"/>
      <c r="C30" s="415"/>
      <c r="D30" s="620"/>
      <c r="E30" s="416"/>
      <c r="F30" s="637"/>
      <c r="G30" s="631"/>
      <c r="H30" s="589"/>
    </row>
    <row r="31" spans="1:8" ht="13" x14ac:dyDescent="0.3">
      <c r="A31" s="417"/>
      <c r="B31" s="418"/>
      <c r="C31" s="423"/>
      <c r="D31" s="622"/>
      <c r="E31" s="424"/>
      <c r="F31" s="639"/>
      <c r="G31" s="633"/>
      <c r="H31" s="591"/>
    </row>
    <row r="32" spans="1:8" ht="13" x14ac:dyDescent="0.3">
      <c r="A32" s="419"/>
      <c r="B32" s="425"/>
      <c r="C32" s="869"/>
      <c r="D32" s="870"/>
      <c r="E32" s="871"/>
      <c r="F32" s="872"/>
      <c r="G32" s="873"/>
      <c r="H32" s="874"/>
    </row>
    <row r="33" spans="1:15" ht="13" x14ac:dyDescent="0.25">
      <c r="A33" s="1210" t="s">
        <v>185</v>
      </c>
      <c r="B33" s="1211"/>
      <c r="C33" s="887"/>
      <c r="D33" s="888"/>
      <c r="E33" s="889"/>
      <c r="F33" s="890"/>
      <c r="G33" s="891"/>
      <c r="H33" s="889"/>
    </row>
    <row r="34" spans="1:15" ht="13" x14ac:dyDescent="0.3">
      <c r="A34" s="419"/>
      <c r="B34" s="425"/>
      <c r="C34" s="875"/>
      <c r="D34" s="876"/>
      <c r="E34" s="877"/>
      <c r="F34" s="878"/>
      <c r="G34" s="879"/>
      <c r="H34" s="880"/>
    </row>
    <row r="35" spans="1:15" ht="13" x14ac:dyDescent="0.3">
      <c r="A35" s="417"/>
      <c r="B35" s="418"/>
      <c r="C35" s="881"/>
      <c r="D35" s="882"/>
      <c r="E35" s="883"/>
      <c r="F35" s="884"/>
      <c r="G35" s="885"/>
      <c r="H35" s="886"/>
    </row>
    <row r="36" spans="1:15" ht="13" x14ac:dyDescent="0.3">
      <c r="A36" s="419"/>
      <c r="B36" s="425"/>
      <c r="C36" s="415"/>
      <c r="D36" s="620"/>
      <c r="E36" s="416"/>
      <c r="F36" s="637"/>
      <c r="G36" s="631"/>
      <c r="H36" s="589"/>
    </row>
    <row r="37" spans="1:15" ht="30" customHeight="1" x14ac:dyDescent="0.25">
      <c r="A37" s="1199" t="s">
        <v>212</v>
      </c>
      <c r="B37" s="1200"/>
      <c r="C37" s="613">
        <v>0</v>
      </c>
      <c r="D37" s="623">
        <v>0</v>
      </c>
      <c r="E37" s="614">
        <f>C37+D37</f>
        <v>0</v>
      </c>
      <c r="F37" s="615">
        <v>0</v>
      </c>
      <c r="G37" s="634">
        <v>0</v>
      </c>
      <c r="H37" s="616">
        <f>F37+G37</f>
        <v>0</v>
      </c>
    </row>
    <row r="38" spans="1:15" x14ac:dyDescent="0.25">
      <c r="A38" s="426"/>
      <c r="B38" s="427"/>
      <c r="C38" s="627"/>
      <c r="D38" s="624"/>
      <c r="E38" s="428"/>
      <c r="F38" s="637"/>
      <c r="G38" s="631"/>
      <c r="H38" s="589"/>
    </row>
    <row r="39" spans="1:15" ht="13" thickBot="1" x14ac:dyDescent="0.3">
      <c r="A39" s="429"/>
      <c r="B39" s="430"/>
      <c r="C39" s="628"/>
      <c r="D39" s="625"/>
      <c r="E39" s="431"/>
      <c r="F39" s="640"/>
      <c r="G39" s="635"/>
      <c r="H39" s="592"/>
    </row>
    <row r="40" spans="1:15" s="770" customFormat="1" ht="25.5" customHeight="1" thickBot="1" x14ac:dyDescent="0.3">
      <c r="A40" s="760" t="s">
        <v>49</v>
      </c>
      <c r="B40" s="761"/>
      <c r="C40" s="762">
        <f t="shared" ref="C40:H40" si="0">SUM(C37,C33,C29,C25,C21,C17)</f>
        <v>0</v>
      </c>
      <c r="D40" s="763">
        <f t="shared" si="0"/>
        <v>0</v>
      </c>
      <c r="E40" s="764">
        <f t="shared" si="0"/>
        <v>0</v>
      </c>
      <c r="F40" s="765">
        <f t="shared" si="0"/>
        <v>0</v>
      </c>
      <c r="G40" s="766">
        <f t="shared" si="0"/>
        <v>0</v>
      </c>
      <c r="H40" s="767">
        <f t="shared" si="0"/>
        <v>0</v>
      </c>
      <c r="I40" s="768"/>
      <c r="J40" s="769"/>
      <c r="K40" s="769"/>
      <c r="L40" s="769"/>
      <c r="M40" s="769"/>
      <c r="N40" s="769"/>
      <c r="O40" s="769"/>
    </row>
    <row r="41" spans="1:15" x14ac:dyDescent="0.25">
      <c r="A41" s="263"/>
      <c r="B41" s="263"/>
    </row>
    <row r="43" spans="1:15" s="4" customFormat="1" x14ac:dyDescent="0.25"/>
    <row r="44" spans="1:15" s="4" customFormat="1" x14ac:dyDescent="0.25"/>
    <row r="45" spans="1:15" s="4" customFormat="1" x14ac:dyDescent="0.25"/>
    <row r="46" spans="1:15" s="4" customFormat="1" x14ac:dyDescent="0.25"/>
    <row r="47" spans="1:15" s="4" customFormat="1" x14ac:dyDescent="0.25"/>
    <row r="48" spans="1:15"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sheetData>
  <customSheetViews>
    <customSheetView guid="{C8C7977F-B6BF-432B-A1A7-559450D521AF}" scale="85" showGridLines="0" fitToPage="1">
      <selection activeCell="A9" sqref="A9"/>
      <pageMargins left="0.55118110236220474" right="0.23622047244094491" top="0.43307086614173229" bottom="0.47244094488188981" header="0.27559055118110237" footer="0.31496062992125984"/>
      <pageSetup paperSize="8" scale="92" orientation="landscape" r:id="rId1"/>
      <headerFooter scaleWithDoc="0" alignWithMargins="0">
        <oddFooter>&amp;C&amp;P/&amp;N</oddFooter>
      </headerFooter>
    </customSheetView>
  </customSheetViews>
  <mergeCells count="18">
    <mergeCell ref="A1:J1"/>
    <mergeCell ref="C12:E12"/>
    <mergeCell ref="F12:H12"/>
    <mergeCell ref="C13:C15"/>
    <mergeCell ref="D13:D15"/>
    <mergeCell ref="F13:F15"/>
    <mergeCell ref="C11:H11"/>
    <mergeCell ref="C10:H10"/>
    <mergeCell ref="E13:E15"/>
    <mergeCell ref="G13:G15"/>
    <mergeCell ref="H13:H15"/>
    <mergeCell ref="A13:B15"/>
    <mergeCell ref="A37:B37"/>
    <mergeCell ref="A29:B29"/>
    <mergeCell ref="A33:B33"/>
    <mergeCell ref="A25:B25"/>
    <mergeCell ref="A17:B17"/>
    <mergeCell ref="A21:B21"/>
  </mergeCells>
  <conditionalFormatting sqref="F16:H40">
    <cfRule type="expression" dxfId="1" priority="4" stopIfTrue="1">
      <formula>$N$2="ex-ante"</formula>
    </cfRule>
  </conditionalFormatting>
  <conditionalFormatting sqref="C16:E40">
    <cfRule type="expression" dxfId="0" priority="2" stopIfTrue="1">
      <formula>$N$2="ex-post"</formula>
    </cfRule>
  </conditionalFormatting>
  <pageMargins left="0.55118110236220474" right="0.23622047244094491" top="0.43307086614173229" bottom="0.47244094488188981" header="0.27559055118110237" footer="0.31496062992125984"/>
  <pageSetup paperSize="8" scale="91" orientation="landscape" r:id="rId2"/>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26</vt:i4>
      </vt:variant>
    </vt:vector>
  </HeadingPairs>
  <TitlesOfParts>
    <vt:vector size="45" baseType="lpstr">
      <vt:lpstr>TITELBLAD</vt:lpstr>
      <vt:lpstr>T1</vt:lpstr>
      <vt:lpstr>T2</vt:lpstr>
      <vt:lpstr>T3A</vt:lpstr>
      <vt:lpstr>T3B</vt:lpstr>
      <vt:lpstr>T4A</vt:lpstr>
      <vt:lpstr>T4B</vt:lpstr>
      <vt:lpstr>T4C</vt:lpstr>
      <vt:lpstr>T5A</vt:lpstr>
      <vt:lpstr>T5B</vt:lpstr>
      <vt:lpstr>T5C</vt:lpstr>
      <vt:lpstr>T5D</vt:lpstr>
      <vt:lpstr>T5E</vt:lpstr>
      <vt:lpstr>T6A</vt:lpstr>
      <vt:lpstr>T6B</vt:lpstr>
      <vt:lpstr>T7</vt:lpstr>
      <vt:lpstr>T8</vt:lpstr>
      <vt:lpstr>T9</vt:lpstr>
      <vt:lpstr>T10</vt:lpstr>
      <vt:lpstr>TITELBLAD!_ftnref2</vt:lpstr>
      <vt:lpstr>TITELBLAD!_ftnref3</vt:lpstr>
      <vt:lpstr>'T1'!Afdrukbereik</vt:lpstr>
      <vt:lpstr>'T10'!Afdrukbereik</vt:lpstr>
      <vt:lpstr>'T2'!Afdrukbereik</vt:lpstr>
      <vt:lpstr>T3A!Afdrukbereik</vt:lpstr>
      <vt:lpstr>T3B!Afdrukbereik</vt:lpstr>
      <vt:lpstr>T4A!Afdrukbereik</vt:lpstr>
      <vt:lpstr>T4B!Afdrukbereik</vt:lpstr>
      <vt:lpstr>T4C!Afdrukbereik</vt:lpstr>
      <vt:lpstr>T5A!Afdrukbereik</vt:lpstr>
      <vt:lpstr>T5B!Afdrukbereik</vt:lpstr>
      <vt:lpstr>T5C!Afdrukbereik</vt:lpstr>
      <vt:lpstr>T5D!Afdrukbereik</vt:lpstr>
      <vt:lpstr>T5E!Afdrukbereik</vt:lpstr>
      <vt:lpstr>T6A!Afdrukbereik</vt:lpstr>
      <vt:lpstr>T6B!Afdrukbereik</vt:lpstr>
      <vt:lpstr>'T7'!Afdrukbereik</vt:lpstr>
      <vt:lpstr>'T8'!Afdrukbereik</vt:lpstr>
      <vt:lpstr>'T9'!Afdrukbereik</vt:lpstr>
      <vt:lpstr>TITELBLAD!Afdrukbereik</vt:lpstr>
      <vt:lpstr>T4A!Afdruktitels</vt:lpstr>
      <vt:lpstr>T4C!Afdruktitels</vt:lpstr>
      <vt:lpstr>T5A!Afdruktitels</vt:lpstr>
      <vt:lpstr>T6A!Afdruktitels</vt:lpstr>
      <vt:lpstr>'T7'!Afdruktitels</vt:lpstr>
    </vt:vector>
  </TitlesOfParts>
  <Company>VREG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Stockman</dc:creator>
  <cp:lastModifiedBy>Shirley Pauwels</cp:lastModifiedBy>
  <cp:lastPrinted>2016-03-03T07:50:12Z</cp:lastPrinted>
  <dcterms:created xsi:type="dcterms:W3CDTF">2014-05-06T11:13:59Z</dcterms:created>
  <dcterms:modified xsi:type="dcterms:W3CDTF">2018-07-06T06:36:58Z</dcterms:modified>
</cp:coreProperties>
</file>